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7" r:id="rId5"/>
    <sheet name="Reconciliation page" sheetId="3" r:id="rId6"/>
    <sheet name="Sheet1" sheetId="6" r:id="rId7"/>
  </sheets>
  <externalReferences>
    <externalReference r:id="rId8"/>
  </externalReferences>
  <definedNames>
    <definedName name="_xlnm.Print_Area" localSheetId="5">'Reconciliation page'!$A$5:$F$75</definedName>
    <definedName name="_xlnm.Print_Area" localSheetId="0">'Statements of Operations'!$A$1:$E$54</definedName>
    <definedName name="_xlnm.Print_Titles" localSheetId="4">'Operational Performance'!$1:$3</definedName>
    <definedName name="_xlnm.Print_Titles" localSheetId="5">'Reconciliation page'!$1:$4</definedName>
  </definedNames>
  <calcPr calcId="145621"/>
</workbook>
</file>

<file path=xl/calcChain.xml><?xml version="1.0" encoding="utf-8"?>
<calcChain xmlns="http://schemas.openxmlformats.org/spreadsheetml/2006/main">
  <c r="B59" i="7" l="1"/>
  <c r="B60" i="7" s="1"/>
  <c r="G56" i="7"/>
  <c r="D56" i="7"/>
  <c r="B56" i="7"/>
  <c r="G43" i="7"/>
  <c r="G57" i="7" s="1"/>
  <c r="D43" i="7"/>
  <c r="D57" i="7" s="1"/>
  <c r="B43" i="7"/>
  <c r="B57" i="7" s="1"/>
  <c r="G42" i="7"/>
  <c r="D42" i="7"/>
  <c r="B42" i="7"/>
  <c r="G35" i="7"/>
  <c r="D35" i="7"/>
  <c r="B35" i="7"/>
  <c r="G31" i="7"/>
  <c r="D31" i="7"/>
  <c r="B31" i="7"/>
  <c r="A31" i="7"/>
  <c r="H27" i="7"/>
  <c r="G27" i="7"/>
  <c r="D27" i="7"/>
  <c r="B27" i="7"/>
  <c r="H26" i="7"/>
  <c r="E26" i="7"/>
  <c r="C26" i="7"/>
  <c r="C27" i="7" s="1"/>
  <c r="H25" i="7"/>
  <c r="E25" i="7"/>
  <c r="E27" i="7" s="1"/>
  <c r="C25" i="7"/>
  <c r="H20" i="7"/>
  <c r="G20" i="7"/>
  <c r="D20" i="7"/>
  <c r="B20" i="7"/>
  <c r="H19" i="7"/>
  <c r="E19" i="7"/>
  <c r="C19" i="7"/>
  <c r="C20" i="7" s="1"/>
  <c r="H18" i="7"/>
  <c r="E18" i="7"/>
  <c r="E20" i="7" s="1"/>
  <c r="C18" i="7"/>
  <c r="H13" i="7"/>
  <c r="G13" i="7"/>
  <c r="G29" i="7" s="1"/>
  <c r="D13" i="7"/>
  <c r="D29" i="7" s="1"/>
  <c r="B13" i="7"/>
  <c r="B29" i="7" s="1"/>
  <c r="B33" i="7" s="1"/>
  <c r="H12" i="7"/>
  <c r="E12" i="7"/>
  <c r="C12" i="7"/>
  <c r="C13" i="7" s="1"/>
  <c r="H11" i="7"/>
  <c r="E11" i="7"/>
  <c r="E13" i="7" s="1"/>
  <c r="C11" i="7"/>
  <c r="D46" i="7" l="1"/>
  <c r="B46" i="7"/>
  <c r="G46" i="7"/>
  <c r="G61" i="7"/>
  <c r="D61" i="7"/>
  <c r="D33" i="7"/>
  <c r="G33" i="7"/>
  <c r="B61" i="7"/>
  <c r="B35" i="2" l="1"/>
  <c r="B42" i="2"/>
  <c r="B28" i="2"/>
  <c r="B15" i="2"/>
  <c r="C32" i="4" l="1"/>
  <c r="C22" i="4"/>
  <c r="B44" i="2" l="1"/>
  <c r="B32" i="4" l="1"/>
  <c r="B58" i="3" l="1"/>
  <c r="B63" i="3" l="1"/>
  <c r="B72" i="3" s="1"/>
  <c r="C29" i="3" l="1"/>
  <c r="E29" i="3"/>
  <c r="B29" i="3"/>
  <c r="C30" i="4"/>
  <c r="E30" i="4"/>
  <c r="B13" i="1"/>
  <c r="C13" i="1"/>
  <c r="E13" i="1"/>
  <c r="C55" i="4"/>
  <c r="C44" i="4"/>
  <c r="E55" i="4"/>
  <c r="E44" i="4"/>
  <c r="D19" i="5"/>
  <c r="D21" i="5" s="1"/>
  <c r="C19" i="5"/>
  <c r="E32" i="3" l="1"/>
  <c r="B32" i="3"/>
  <c r="E22" i="1" l="1"/>
  <c r="E24" i="1" s="1"/>
  <c r="E63" i="3"/>
  <c r="E55" i="3"/>
  <c r="E34" i="3"/>
  <c r="E57" i="3" s="1"/>
  <c r="E33" i="3"/>
  <c r="E56" i="3" s="1"/>
  <c r="E31" i="3"/>
  <c r="E54" i="3" s="1"/>
  <c r="E30" i="3"/>
  <c r="E53" i="3" s="1"/>
  <c r="E59" i="3" s="1"/>
  <c r="E28" i="3"/>
  <c r="E26" i="3"/>
  <c r="E36" i="1"/>
  <c r="E29" i="1"/>
  <c r="E27" i="3" s="1"/>
  <c r="E31" i="1" l="1"/>
  <c r="E38" i="1" s="1"/>
  <c r="E41" i="1" s="1"/>
  <c r="E10" i="4" s="1"/>
  <c r="E33" i="4" s="1"/>
  <c r="E57" i="4" s="1"/>
  <c r="E65" i="3" l="1"/>
  <c r="E25" i="3"/>
  <c r="E51" i="3" s="1"/>
  <c r="C36" i="2"/>
  <c r="B44" i="4" l="1"/>
  <c r="D20" i="5" l="1"/>
  <c r="C21" i="5"/>
  <c r="D24" i="5" l="1"/>
  <c r="C24" i="5"/>
  <c r="C20" i="2"/>
  <c r="C34" i="3" l="1"/>
  <c r="C57" i="3" s="1"/>
  <c r="B34" i="3"/>
  <c r="B57" i="3" s="1"/>
  <c r="C36" i="1"/>
  <c r="B36" i="1"/>
  <c r="C32" i="3" l="1"/>
  <c r="C55" i="3" l="1"/>
  <c r="B55" i="3"/>
  <c r="B55" i="4" l="1"/>
  <c r="C33" i="3" l="1"/>
  <c r="C56" i="3" s="1"/>
  <c r="B33" i="3"/>
  <c r="B56" i="3" s="1"/>
  <c r="B31" i="3" l="1"/>
  <c r="B54" i="3" s="1"/>
  <c r="C31" i="3"/>
  <c r="C54" i="3" s="1"/>
  <c r="E49" i="3"/>
  <c r="C27" i="5" l="1"/>
  <c r="C26" i="5"/>
  <c r="D28" i="5" l="1"/>
  <c r="C28" i="5"/>
  <c r="C29" i="5" l="1"/>
  <c r="D29" i="5"/>
  <c r="C63" i="3"/>
  <c r="C30" i="3"/>
  <c r="C53" i="3" s="1"/>
  <c r="C59" i="3" s="1"/>
  <c r="C28" i="3"/>
  <c r="C26" i="3"/>
  <c r="B30" i="3"/>
  <c r="B28" i="3"/>
  <c r="B26" i="3"/>
  <c r="B49" i="3"/>
  <c r="C49" i="3"/>
  <c r="B48" i="3"/>
  <c r="B69" i="3" l="1"/>
  <c r="B71" i="3"/>
  <c r="B53" i="3"/>
  <c r="B68" i="3"/>
  <c r="B70" i="3"/>
  <c r="B67" i="3" l="1"/>
  <c r="B59" i="3"/>
  <c r="B73" i="3" s="1"/>
  <c r="C53" i="2"/>
  <c r="C37" i="2"/>
  <c r="C45" i="2" s="1"/>
  <c r="C54" i="2" s="1"/>
  <c r="B37" i="2"/>
  <c r="B45" i="2" s="1"/>
  <c r="C29" i="2"/>
  <c r="B29" i="2"/>
  <c r="C21" i="2"/>
  <c r="B21" i="2"/>
  <c r="C29" i="1"/>
  <c r="C27" i="3" s="1"/>
  <c r="B29" i="1"/>
  <c r="B27" i="3" s="1"/>
  <c r="C22" i="1"/>
  <c r="C24" i="1" s="1"/>
  <c r="B22" i="1"/>
  <c r="C31" i="1" l="1"/>
  <c r="C38" i="1" s="1"/>
  <c r="C41" i="1" s="1"/>
  <c r="C10" i="4" s="1"/>
  <c r="C33" i="4" s="1"/>
  <c r="B24" i="1"/>
  <c r="B31" i="1" s="1"/>
  <c r="B38" i="1" s="1"/>
  <c r="C30" i="2"/>
  <c r="B30" i="2"/>
  <c r="C57" i="4" l="1"/>
  <c r="C25" i="3"/>
  <c r="C37" i="3" s="1"/>
  <c r="C52" i="1" s="1"/>
  <c r="C65" i="3"/>
  <c r="E60" i="4"/>
  <c r="C58" i="4" s="1"/>
  <c r="E61" i="3"/>
  <c r="C60" i="4" l="1"/>
  <c r="B58" i="4" s="1"/>
  <c r="C51" i="3"/>
  <c r="C61" i="3" s="1"/>
  <c r="E37" i="3"/>
  <c r="E52" i="1" s="1"/>
  <c r="B41" i="1"/>
  <c r="B46" i="1" s="1"/>
  <c r="B65" i="3" s="1"/>
  <c r="B10" i="4" l="1"/>
  <c r="B51" i="2"/>
  <c r="B53" i="2" s="1"/>
  <c r="B54" i="2" s="1"/>
  <c r="B44" i="1"/>
  <c r="B74" i="3" s="1"/>
  <c r="B53" i="1" s="1"/>
  <c r="B25" i="3"/>
  <c r="B33" i="4" l="1"/>
  <c r="B57" i="4" s="1"/>
  <c r="B60" i="4" s="1"/>
  <c r="B51" i="3"/>
  <c r="B61" i="3" s="1"/>
  <c r="B37" i="3"/>
  <c r="B52" i="1" s="1"/>
</calcChain>
</file>

<file path=xl/sharedStrings.xml><?xml version="1.0" encoding="utf-8"?>
<sst xmlns="http://schemas.openxmlformats.org/spreadsheetml/2006/main" count="338" uniqueCount="185">
  <si>
    <t>Arch Coal, Inc. and Subsidiaries</t>
  </si>
  <si>
    <t>Condensed Consolidated Statements of Operations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</si>
  <si>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</si>
  <si>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</si>
  <si>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</si>
  <si>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</si>
  <si>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</si>
  <si>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</si>
  <si>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</si>
  <si>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</si>
  <si>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</si>
  <si>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</si>
  <si>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</si>
  <si>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</si>
  <si>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</si>
  <si>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</si>
  <si>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</si>
  <si>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</si>
  <si>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</si>
  <si>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</si>
  <si>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</si>
  <si>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</si>
  <si>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</si>
  <si>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</si>
  <si>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</si>
  <si>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</si>
  <si>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</si>
  <si>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</si>
  <si>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</si>
  <si>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</si>
  <si>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</si>
  <si>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</si>
  <si>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</si>
  <si>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</si>
  <si>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</si>
  <si>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</si>
  <si>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</si>
  <si>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</si>
  <si>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</si>
  <si>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</si>
  <si>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</si>
  <si>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</si>
  <si>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</si>
  <si>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</si>
  <si>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</si>
  <si>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</si>
  <si>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</si>
  <si>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Treasury stock, at cost</t>
  </si>
  <si>
    <t>Reconciliation of Non-GAAP Measures</t>
  </si>
  <si>
    <t>Included in the accompanying release, we have disclosed certain non-GAAP measures as defined by Regulation G.</t>
  </si>
  <si>
    <t>The following reconciles these items to net income and cash flows as reported under GAAP.</t>
  </si>
  <si>
    <t>Income tax (benefit) expense</t>
  </si>
  <si>
    <t>Tax impact of adjustments</t>
  </si>
  <si>
    <t>Cash and cash equivalents, end of period</t>
  </si>
  <si>
    <t>Cash and cash equivalents, beginning of period</t>
  </si>
  <si>
    <t>Other</t>
  </si>
  <si>
    <t>Dividends paid</t>
  </si>
  <si>
    <t>Debt financing costs</t>
  </si>
  <si>
    <t>Net payments on other debt</t>
  </si>
  <si>
    <t>Payments on term loan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</si>
  <si>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</si>
  <si>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</si>
  <si>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</si>
  <si>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</si>
  <si>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</si>
  <si>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</si>
  <si>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</si>
  <si>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</si>
  <si>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</si>
  <si>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</si>
  <si>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</si>
  <si>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</si>
  <si>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</si>
  <si>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Adjustments to reconcile to cash provided by operating activities:</t>
  </si>
  <si>
    <t>Operating activities</t>
  </si>
  <si>
    <t>Condensed Consolidated Statements of Cash Flows</t>
  </si>
  <si>
    <t xml:space="preserve">December 31, </t>
  </si>
  <si>
    <t>Transportation costs billed to customers</t>
  </si>
  <si>
    <t>Schedule of Consolidated Debt</t>
  </si>
  <si>
    <t>December 31,</t>
  </si>
  <si>
    <t>7.00% senior notes due 2019 at par</t>
  </si>
  <si>
    <t>9.875% senior notes ($375.0 million face value) due 2019</t>
  </si>
  <si>
    <t>8.00% senior secured notes due 2019 at par</t>
  </si>
  <si>
    <t>7.25% senior notes due 2020 at par</t>
  </si>
  <si>
    <t>7.25% senior notes due 2021 at par</t>
  </si>
  <si>
    <t>Less: current maturities of debt</t>
  </si>
  <si>
    <t>Calculation of net debt</t>
  </si>
  <si>
    <t>Less liquid assets:</t>
  </si>
  <si>
    <t>Net debt</t>
  </si>
  <si>
    <t>Tax impact of adjustment</t>
  </si>
  <si>
    <t>Other operating (income) expense, net</t>
  </si>
  <si>
    <t>Expenses related to debt restructuring</t>
  </si>
  <si>
    <t>Asset impairment and mine closure costs</t>
  </si>
  <si>
    <t xml:space="preserve">Restricted cash </t>
  </si>
  <si>
    <t>Deposits of restricted cash</t>
  </si>
  <si>
    <t>Losses from disposed operations resulting from Patriot Coal bankruptcy</t>
  </si>
  <si>
    <t>Asset impairment and noncash mine closure costs</t>
  </si>
  <si>
    <t>Net loss resulting from early retirement of debt and debt restructuring</t>
  </si>
  <si>
    <t>Withdrawals (deposits) of restricted cash</t>
  </si>
  <si>
    <t>Reorganization items, net</t>
  </si>
  <si>
    <t>Debt issuance costs</t>
  </si>
  <si>
    <t>Total debt (excluding debt issuance costs)</t>
  </si>
  <si>
    <t>Non-cash bankruptcy reorganization items</t>
  </si>
  <si>
    <t>Proceeds from (consideration paid for) disposals and divestitures</t>
  </si>
  <si>
    <t>Adjusted EBITDAR</t>
  </si>
  <si>
    <t>Income (loss) from operations</t>
  </si>
  <si>
    <t>Cash provided by (used in) investing activities</t>
  </si>
  <si>
    <t>Year ended December 31, 2015</t>
  </si>
  <si>
    <t>N/A</t>
  </si>
  <si>
    <t>Provision for (benefit from) income taxes</t>
  </si>
  <si>
    <t>Predecessor</t>
  </si>
  <si>
    <t>January 1, 2016 through October 1, 2016</t>
  </si>
  <si>
    <t>October 2, 2016 through December 31, 2016</t>
  </si>
  <si>
    <t>Successor</t>
  </si>
  <si>
    <t xml:space="preserve">  Current liabilities</t>
  </si>
  <si>
    <t>Liabilities and Stockholders' Equity (Deficit)</t>
  </si>
  <si>
    <t xml:space="preserve">Total liabilities </t>
  </si>
  <si>
    <t>Stockholders' equity (deficit)</t>
  </si>
  <si>
    <t>Pension, postretirement and other postemployment benefits</t>
  </si>
  <si>
    <t>Coal derivative assets and liabilities</t>
  </si>
  <si>
    <t>Minimum royalty payments</t>
  </si>
  <si>
    <t>Proceeds from sale of investments in equity investments and securities</t>
  </si>
  <si>
    <t>Accretion on asset retirement obligations</t>
  </si>
  <si>
    <t xml:space="preserve">Adjusted EBITDAR is defined as net income attributable to the Company before the effect of net interest expense, income taxes, depreciation, </t>
  </si>
  <si>
    <t>Adjusted EBITDAR may also be adjusted for items that may not reflect the trend of future results.</t>
  </si>
  <si>
    <t>Income (loss) before income taxes</t>
  </si>
  <si>
    <t>Net income per common share</t>
  </si>
  <si>
    <t>(A) Adjusted EBITDAR and Adjusted diluted income per common share are defined and reconciled under "Reconciliation of Non-GAAP Measures" later in this release.</t>
  </si>
  <si>
    <t>Accumulated earnings (deficit)</t>
  </si>
  <si>
    <t>Accumulated other comprehensive income (loss)</t>
  </si>
  <si>
    <t>Total stockholders’ equity (deficit)</t>
  </si>
  <si>
    <t>Total liabilities and stockholders’ equity (deficit)</t>
  </si>
  <si>
    <t>Net income (loss)</t>
  </si>
  <si>
    <t>Cash provided by (used in) operating activities</t>
  </si>
  <si>
    <t>Increase (decrease) in cash and cash equivalents</t>
  </si>
  <si>
    <t>Adjusted net income (loss) and adjusted diluted income (loss) per share</t>
  </si>
  <si>
    <t>Adjusted net income (loss)</t>
  </si>
  <si>
    <t>Income (loss) before nonoperating expenses</t>
  </si>
  <si>
    <t>Nonoperating income (expense)</t>
  </si>
  <si>
    <t>Diluted EPS</t>
  </si>
  <si>
    <t>Basic weighted average shares outstanding</t>
  </si>
  <si>
    <t>Fresh start coal inventory fair value adjustment</t>
  </si>
  <si>
    <t>Term loan due 2021 ($326.5 million face value)</t>
  </si>
  <si>
    <t>Basic EPS</t>
  </si>
  <si>
    <t>Adjusted diluted income per share</t>
  </si>
  <si>
    <t xml:space="preserve">Diluted income per share </t>
  </si>
  <si>
    <t>Adjusted diluted income per common share (A)</t>
  </si>
  <si>
    <t>Amortization of sales contracts, net</t>
  </si>
  <si>
    <t>Adjusted EBITDAR is not a measure of financial performance in accordance with generally accepted accounting principles, and items excluded</t>
  </si>
  <si>
    <t xml:space="preserve">from Adjusted EBITDAR are significant in understanding and assessing our financial condition. Therefore, Adjusted EBITDAR should not be </t>
  </si>
  <si>
    <t xml:space="preserve">considered in isolation, nor as an alternative to net income, income from operations, cash flows from operations or as a measure of our profitability, </t>
  </si>
  <si>
    <t>net income (loss) and adjusted diluted income (loss) per common share better reflect the trend of our future results by excluding items relating to</t>
  </si>
  <si>
    <t>significant transactions. The adjustments made to arrive at these measures are significant in understanding and assessing our financial condition.</t>
  </si>
  <si>
    <t xml:space="preserve">Therefore, adjusted net income (loss) and adjusted diluted income (loss) per share should not be considered in isolation, nor as an alternative to </t>
  </si>
  <si>
    <t>net income (loss) or diluted income (loss) per common share under generally accepted accounting principles.</t>
  </si>
  <si>
    <t xml:space="preserve">liquidity or performance under generally accepted accounting principles.  The Company uses adjusted EBITDAR to measure the operating </t>
  </si>
  <si>
    <t xml:space="preserve">our operating performance. Investors should be aware that our presentation of Adjusted EBITDAR may not be comparable to similarly titled measures </t>
  </si>
  <si>
    <t>used by other companies. The table below shows how we calculate Adjusted EBITDAR.</t>
  </si>
  <si>
    <t xml:space="preserve">performance of its segments and allocate resources to the segments.  Furthermore, analogous measures are used by industry analysts to evaluate </t>
  </si>
  <si>
    <t>Adjusted net income (loss) and adjusted diluted income (loss) per common share are adjusted for the after-tax impact of reorganization items, net</t>
  </si>
  <si>
    <t>and are not measures of financial performance in accordance with generally accepted accounting principles.  We believe that adjusted</t>
  </si>
  <si>
    <t>Adjusted EBITDAR (A) (Unaudited)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</si>
  <si>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</si>
  <si>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</si>
  <si>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</si>
  <si>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</si>
  <si>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</si>
  <si>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</si>
  <si>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</si>
  <si>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</si>
  <si>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</si>
  <si>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</si>
  <si>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</si>
  <si>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>Total segment sales</t>
  </si>
  <si>
    <t>Coal risk management derivative settlements</t>
  </si>
  <si>
    <t>Other (1)</t>
  </si>
  <si>
    <t xml:space="preserve">(1) Other includes coal sales associated with mines that have operated historically but have been idled or disposed of and are no </t>
  </si>
  <si>
    <t>longer part of a segment.</t>
  </si>
  <si>
    <t>Total segment cash cost of sales</t>
  </si>
  <si>
    <t>Risk management derivative settlements--diesel fuel</t>
  </si>
  <si>
    <t xml:space="preserve">(1) Other includes costs associated with mines that have operated historically but have been idled or disposed of and are no longer </t>
  </si>
  <si>
    <t>part of a segment and operating overhead.</t>
  </si>
  <si>
    <t>depletion and amortization, accretion on asset retirement obligations, amortization of sales contracts and reorganization items, net.</t>
  </si>
  <si>
    <t xml:space="preserve">Term loan due 2018 ($1.9 billion face value) </t>
  </si>
  <si>
    <t>Cash provided by (used in)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</si>
</sst>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75" fontId="17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 indent="1"/>
    </xf>
    <xf numFmtId="167" fontId="5" fillId="0" borderId="0" xfId="0" applyNumberFormat="1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 indent="2"/>
    </xf>
    <xf numFmtId="0" fontId="5" fillId="0" borderId="0" xfId="0" applyFont="1" applyAlignment="1">
      <alignment wrapText="1"/>
    </xf>
    <xf numFmtId="167" fontId="5" fillId="0" borderId="0" xfId="0" applyNumberFormat="1" applyFont="1" applyAlignment="1">
      <alignment horizontal="left"/>
    </xf>
    <xf numFmtId="168" fontId="5" fillId="0" borderId="0" xfId="0" applyNumberFormat="1" applyFont="1" applyAlignment="1"/>
    <xf numFmtId="169" fontId="5" fillId="0" borderId="0" xfId="0" applyNumberFormat="1" applyFont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71" fontId="5" fillId="0" borderId="0" xfId="0" applyNumberFormat="1" applyFont="1" applyAlignment="1"/>
    <xf numFmtId="171" fontId="5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72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wrapText="1" indent="3"/>
    </xf>
    <xf numFmtId="167" fontId="5" fillId="0" borderId="0" xfId="0" applyNumberFormat="1" applyFont="1" applyFill="1" applyBorder="1" applyAlignment="1"/>
    <xf numFmtId="167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wrapText="1" inden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horizontal="left"/>
    </xf>
    <xf numFmtId="166" fontId="0" fillId="0" borderId="0" xfId="0" applyNumberFormat="1" applyAlignment="1">
      <alignment wrapText="1"/>
    </xf>
    <xf numFmtId="0" fontId="13" fillId="0" borderId="0" xfId="0" applyFont="1" applyFill="1" applyAlignment="1">
      <alignment horizontal="left"/>
    </xf>
    <xf numFmtId="165" fontId="13" fillId="0" borderId="0" xfId="0" applyNumberFormat="1" applyFont="1" applyFill="1" applyAlignment="1"/>
    <xf numFmtId="167" fontId="13" fillId="0" borderId="0" xfId="0" applyNumberFormat="1" applyFont="1" applyFill="1" applyAlignment="1"/>
    <xf numFmtId="0" fontId="0" fillId="0" borderId="0" xfId="0" applyFill="1" applyAlignment="1">
      <alignment wrapText="1"/>
    </xf>
    <xf numFmtId="167" fontId="13" fillId="0" borderId="1" xfId="0" applyNumberFormat="1" applyFont="1" applyFill="1" applyBorder="1" applyAlignment="1"/>
    <xf numFmtId="165" fontId="13" fillId="0" borderId="6" xfId="0" applyNumberFormat="1" applyFont="1" applyFill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71" fontId="5" fillId="0" borderId="0" xfId="0" applyNumberFormat="1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71" fontId="5" fillId="0" borderId="0" xfId="0" applyNumberFormat="1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Fill="1" applyAlignment="1">
      <alignment wrapText="1"/>
    </xf>
    <xf numFmtId="164" fontId="5" fillId="0" borderId="0" xfId="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indent="1"/>
    </xf>
    <xf numFmtId="166" fontId="5" fillId="0" borderId="0" xfId="1" applyNumberFormat="1" applyFont="1" applyFill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5" fillId="0" borderId="2" xfId="1" applyNumberFormat="1" applyFont="1" applyFill="1" applyBorder="1" applyAlignment="1">
      <alignment horizontal="right"/>
    </xf>
    <xf numFmtId="0" fontId="5" fillId="0" borderId="0" xfId="0" applyFont="1" applyFill="1" applyAlignment="1">
      <alignment wrapText="1" indent="2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166" fontId="5" fillId="0" borderId="0" xfId="1" applyNumberFormat="1" applyFont="1" applyFill="1" applyBorder="1" applyAlignment="1">
      <alignment horizontal="right"/>
    </xf>
    <xf numFmtId="0" fontId="8" fillId="0" borderId="0" xfId="0" applyFont="1" applyFill="1" applyAlignment="1">
      <alignment wrapText="1" indent="2"/>
    </xf>
    <xf numFmtId="164" fontId="5" fillId="0" borderId="4" xfId="2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44" fontId="5" fillId="0" borderId="0" xfId="2" applyNumberFormat="1" applyFont="1" applyFill="1" applyAlignment="1">
      <alignment horizontal="right"/>
    </xf>
    <xf numFmtId="165" fontId="5" fillId="0" borderId="4" xfId="0" applyNumberFormat="1" applyFont="1" applyFill="1" applyBorder="1" applyAlignment="1"/>
    <xf numFmtId="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0" xfId="0" applyNumberFormat="1" applyFont="1" applyFill="1" applyAlignment="1"/>
    <xf numFmtId="164" fontId="5" fillId="0" borderId="0" xfId="2" applyNumberFormat="1" applyFont="1" applyFill="1" applyAlignment="1">
      <alignment horizontal="left"/>
    </xf>
    <xf numFmtId="164" fontId="5" fillId="0" borderId="0" xfId="2" applyNumberFormat="1" applyFont="1" applyFill="1" applyAlignment="1"/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/>
    <xf numFmtId="167" fontId="5" fillId="0" borderId="1" xfId="0" applyNumberFormat="1" applyFont="1" applyFill="1" applyBorder="1" applyAlignment="1"/>
    <xf numFmtId="166" fontId="5" fillId="0" borderId="1" xfId="1" applyNumberFormat="1" applyFont="1" applyFill="1" applyBorder="1" applyAlignment="1"/>
    <xf numFmtId="164" fontId="5" fillId="0" borderId="4" xfId="2" applyNumberFormat="1" applyFont="1" applyFill="1" applyBorder="1" applyAlignment="1"/>
    <xf numFmtId="166" fontId="5" fillId="0" borderId="2" xfId="1" applyNumberFormat="1" applyFont="1" applyFill="1" applyBorder="1" applyAlignment="1"/>
    <xf numFmtId="167" fontId="5" fillId="0" borderId="3" xfId="0" applyNumberFormat="1" applyFont="1" applyFill="1" applyBorder="1" applyAlignment="1"/>
    <xf numFmtId="171" fontId="5" fillId="0" borderId="3" xfId="0" applyNumberFormat="1" applyFont="1" applyFill="1" applyBorder="1" applyAlignment="1"/>
    <xf numFmtId="0" fontId="0" fillId="0" borderId="0" xfId="0" applyFill="1" applyAlignment="1"/>
    <xf numFmtId="44" fontId="5" fillId="0" borderId="0" xfId="2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71" fontId="5" fillId="0" borderId="0" xfId="0" applyNumberFormat="1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71" fontId="5" fillId="0" borderId="0" xfId="0" applyNumberFormat="1" applyFont="1" applyAlignment="1"/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7" fontId="13" fillId="0" borderId="0" xfId="0" applyNumberFormat="1" applyFont="1" applyFill="1" applyBorder="1" applyAlignment="1"/>
    <xf numFmtId="166" fontId="5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3" fontId="2" fillId="0" borderId="0" xfId="1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66" fontId="5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67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/>
    <xf numFmtId="17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72" fontId="5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5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44" fontId="5" fillId="0" borderId="4" xfId="2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44" fontId="5" fillId="0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8" xfId="2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66" fontId="5" fillId="0" borderId="8" xfId="1" applyNumberFormat="1" applyFont="1" applyFill="1" applyBorder="1" applyAlignment="1">
      <alignment horizontal="right"/>
    </xf>
    <xf numFmtId="166" fontId="5" fillId="0" borderId="9" xfId="1" applyNumberFormat="1" applyFont="1" applyFill="1" applyBorder="1" applyAlignment="1">
      <alignment horizontal="right"/>
    </xf>
    <xf numFmtId="166" fontId="5" fillId="0" borderId="11" xfId="1" applyNumberFormat="1" applyFont="1" applyFill="1" applyBorder="1" applyAlignment="1">
      <alignment horizontal="right"/>
    </xf>
    <xf numFmtId="164" fontId="5" fillId="0" borderId="7" xfId="2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44" fontId="5" fillId="0" borderId="7" xfId="2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/>
    <xf numFmtId="44" fontId="5" fillId="0" borderId="12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quotePrefix="1" applyFont="1" applyAlignment="1">
      <alignment wrapText="1"/>
    </xf>
    <xf numFmtId="0" fontId="5" fillId="0" borderId="0" xfId="0" applyFont="1" applyAlignment="1"/>
    <xf numFmtId="0" fontId="10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quotePrefix="1" applyFont="1" applyBorder="1" applyAlignment="1">
      <alignment horizontal="center" wrapText="1"/>
    </xf>
    <xf numFmtId="165" fontId="5" fillId="0" borderId="8" xfId="0" applyNumberFormat="1" applyFont="1" applyFill="1" applyBorder="1" applyAlignment="1"/>
    <xf numFmtId="167" fontId="5" fillId="0" borderId="8" xfId="0" applyNumberFormat="1" applyFont="1" applyFill="1" applyBorder="1" applyAlignment="1"/>
    <xf numFmtId="167" fontId="5" fillId="0" borderId="9" xfId="0" applyNumberFormat="1" applyFont="1" applyFill="1" applyBorder="1" applyAlignment="1"/>
    <xf numFmtId="166" fontId="5" fillId="0" borderId="10" xfId="1" applyNumberFormat="1" applyFont="1" applyFill="1" applyBorder="1" applyAlignment="1"/>
    <xf numFmtId="166" fontId="5" fillId="0" borderId="8" xfId="1" applyNumberFormat="1" applyFont="1" applyFill="1" applyBorder="1" applyAlignment="1">
      <alignment horizontal="left"/>
    </xf>
    <xf numFmtId="166" fontId="5" fillId="0" borderId="8" xfId="1" applyNumberFormat="1" applyFont="1" applyFill="1" applyBorder="1" applyAlignment="1"/>
    <xf numFmtId="166" fontId="5" fillId="0" borderId="9" xfId="1" applyNumberFormat="1" applyFont="1" applyFill="1" applyBorder="1" applyAlignment="1"/>
    <xf numFmtId="164" fontId="5" fillId="0" borderId="7" xfId="2" applyNumberFormat="1" applyFont="1" applyFill="1" applyBorder="1" applyAlignment="1"/>
    <xf numFmtId="164" fontId="5" fillId="0" borderId="8" xfId="2" applyNumberFormat="1" applyFont="1" applyFill="1" applyBorder="1" applyAlignment="1"/>
    <xf numFmtId="166" fontId="5" fillId="0" borderId="11" xfId="1" applyNumberFormat="1" applyFont="1" applyFill="1" applyBorder="1" applyAlignment="1"/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3" fillId="0" borderId="0" xfId="0" applyFont="1" applyFill="1" applyAlignment="1"/>
    <xf numFmtId="0" fontId="14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3" fillId="0" borderId="8" xfId="0" applyFont="1" applyFill="1" applyBorder="1" applyAlignment="1">
      <alignment horizontal="left"/>
    </xf>
    <xf numFmtId="165" fontId="13" fillId="0" borderId="8" xfId="0" applyNumberFormat="1" applyFont="1" applyFill="1" applyBorder="1" applyAlignment="1"/>
    <xf numFmtId="167" fontId="13" fillId="0" borderId="8" xfId="0" applyNumberFormat="1" applyFont="1" applyFill="1" applyBorder="1" applyAlignment="1"/>
    <xf numFmtId="167" fontId="13" fillId="0" borderId="9" xfId="0" applyNumberFormat="1" applyFont="1" applyFill="1" applyBorder="1" applyAlignment="1"/>
    <xf numFmtId="165" fontId="13" fillId="0" borderId="14" xfId="0" applyNumberFormat="1" applyFont="1" applyFill="1" applyBorder="1" applyAlignment="1"/>
    <xf numFmtId="0" fontId="0" fillId="0" borderId="8" xfId="0" applyFill="1" applyBorder="1" applyAlignment="1">
      <alignment wrapText="1"/>
    </xf>
    <xf numFmtId="167" fontId="13" fillId="0" borderId="8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wrapText="1"/>
    </xf>
    <xf numFmtId="166" fontId="13" fillId="0" borderId="0" xfId="1" applyNumberFormat="1" applyFont="1" applyFill="1" applyAlignment="1"/>
    <xf numFmtId="44" fontId="13" fillId="0" borderId="0" xfId="2" applyFont="1" applyFill="1" applyAlignment="1">
      <alignment horizontal="left"/>
    </xf>
    <xf numFmtId="164" fontId="13" fillId="0" borderId="8" xfId="2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/>
    <xf numFmtId="167" fontId="5" fillId="0" borderId="8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/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44" fontId="5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5" fillId="0" borderId="0" xfId="1" applyFont="1" applyFill="1" applyAlignment="1">
      <alignment horizontal="center"/>
    </xf>
    <xf numFmtId="0" fontId="0" fillId="0" borderId="8" xfId="0" applyFill="1" applyBorder="1" applyAlignment="1"/>
    <xf numFmtId="166" fontId="5" fillId="0" borderId="7" xfId="1" applyNumberFormat="1" applyFont="1" applyFill="1" applyBorder="1" applyAlignment="1"/>
    <xf numFmtId="44" fontId="5" fillId="0" borderId="8" xfId="2" applyNumberFormat="1" applyFont="1" applyFill="1" applyBorder="1" applyAlignment="1">
      <alignment horizontal="left"/>
    </xf>
    <xf numFmtId="43" fontId="5" fillId="0" borderId="8" xfId="1" applyFont="1" applyFill="1" applyBorder="1" applyAlignment="1"/>
    <xf numFmtId="43" fontId="5" fillId="0" borderId="9" xfId="1" applyFont="1" applyFill="1" applyBorder="1" applyAlignment="1"/>
    <xf numFmtId="44" fontId="5" fillId="0" borderId="14" xfId="2" applyFont="1" applyFill="1" applyBorder="1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5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44" fontId="5" fillId="0" borderId="7" xfId="2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71" fontId="5" fillId="0" borderId="0" xfId="0" applyNumberFormat="1" applyFont="1" applyAlignment="1"/>
    <xf numFmtId="166" fontId="5" fillId="0" borderId="0" xfId="1" applyNumberFormat="1" applyFont="1" applyFill="1" applyBorder="1" applyAlignment="1">
      <alignment horizontal="left"/>
    </xf>
    <xf numFmtId="44" fontId="5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166" fontId="13" fillId="0" borderId="8" xfId="1" applyNumberFormat="1" applyFont="1" applyFill="1" applyBorder="1" applyAlignment="1"/>
    <xf numFmtId="166" fontId="13" fillId="0" borderId="9" xfId="1" applyNumberFormat="1" applyFont="1" applyFill="1" applyBorder="1" applyAlignment="1"/>
    <xf numFmtId="0" fontId="5" fillId="0" borderId="0" xfId="0" applyFont="1" applyFill="1" applyAlignment="1">
      <alignment horizontal="left" wrapText="1" indent="2"/>
    </xf>
    <xf numFmtId="0" fontId="7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7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3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164" fontId="5" fillId="0" borderId="0" xfId="2" applyNumberFormat="1" applyFont="1" applyFill="1" applyBorder="1" applyAlignment="1"/>
    <xf numFmtId="173" fontId="5" fillId="0" borderId="0" xfId="1" applyNumberFormat="1" applyFont="1" applyFill="1" applyBorder="1" applyAlignment="1"/>
    <xf numFmtId="173" fontId="5" fillId="0" borderId="8" xfId="1" applyNumberFormat="1" applyFont="1" applyFill="1" applyBorder="1" applyAlignment="1"/>
    <xf numFmtId="173" fontId="5" fillId="0" borderId="0" xfId="1" applyNumberFormat="1" applyFont="1" applyFill="1" applyAlignment="1"/>
    <xf numFmtId="173" fontId="5" fillId="0" borderId="0" xfId="1" applyNumberFormat="1" applyFont="1" applyFill="1" applyAlignment="1">
      <alignment horizontal="left"/>
    </xf>
    <xf numFmtId="174" fontId="5" fillId="0" borderId="0" xfId="2" applyNumberFormat="1" applyFont="1" applyFill="1" applyBorder="1" applyAlignment="1"/>
    <xf numFmtId="44" fontId="5" fillId="0" borderId="8" xfId="2" applyFont="1" applyFill="1" applyBorder="1" applyAlignment="1"/>
    <xf numFmtId="174" fontId="5" fillId="0" borderId="0" xfId="2" applyNumberFormat="1" applyFont="1" applyFill="1" applyAlignment="1"/>
    <xf numFmtId="44" fontId="5" fillId="0" borderId="0" xfId="2" applyFont="1" applyFill="1" applyAlignment="1"/>
    <xf numFmtId="173" fontId="5" fillId="0" borderId="1" xfId="1" applyNumberFormat="1" applyFont="1" applyFill="1" applyBorder="1" applyAlignment="1"/>
    <xf numFmtId="43" fontId="5" fillId="0" borderId="1" xfId="1" applyFont="1" applyFill="1" applyBorder="1" applyAlignment="1"/>
    <xf numFmtId="43" fontId="5" fillId="0" borderId="0" xfId="1" applyFont="1" applyFill="1" applyBorder="1" applyAlignment="1"/>
    <xf numFmtId="174" fontId="5" fillId="0" borderId="4" xfId="2" applyNumberFormat="1" applyFont="1" applyFill="1" applyBorder="1" applyAlignment="1"/>
    <xf numFmtId="173" fontId="5" fillId="0" borderId="0" xfId="1" applyNumberFormat="1" applyFont="1" applyAlignment="1">
      <alignment horizontal="left"/>
    </xf>
    <xf numFmtId="173" fontId="16" fillId="0" borderId="0" xfId="1" applyNumberFormat="1" applyFont="1"/>
    <xf numFmtId="173" fontId="5" fillId="0" borderId="1" xfId="1" applyNumberFormat="1" applyFont="1" applyBorder="1" applyAlignment="1">
      <alignment horizontal="left"/>
    </xf>
    <xf numFmtId="173" fontId="5" fillId="0" borderId="1" xfId="1" applyNumberFormat="1" applyFont="1" applyFill="1" applyBorder="1" applyAlignment="1">
      <alignment horizontal="left"/>
    </xf>
    <xf numFmtId="173" fontId="16" fillId="0" borderId="1" xfId="1" applyNumberFormat="1" applyFont="1" applyBorder="1"/>
    <xf numFmtId="172" fontId="5" fillId="0" borderId="8" xfId="0" applyNumberFormat="1" applyFont="1" applyFill="1" applyBorder="1" applyAlignment="1">
      <alignment horizontal="left"/>
    </xf>
    <xf numFmtId="174" fontId="5" fillId="0" borderId="0" xfId="2" applyNumberFormat="1" applyFont="1" applyAlignment="1">
      <alignment wrapText="1"/>
    </xf>
    <xf numFmtId="173" fontId="5" fillId="0" borderId="0" xfId="1" applyNumberFormat="1" applyFont="1" applyAlignment="1">
      <alignment wrapText="1"/>
    </xf>
    <xf numFmtId="0" fontId="5" fillId="0" borderId="8" xfId="0" applyFont="1" applyBorder="1" applyAlignment="1">
      <alignment wrapText="1"/>
    </xf>
    <xf numFmtId="173" fontId="5" fillId="0" borderId="1" xfId="1" applyNumberFormat="1" applyFont="1" applyBorder="1" applyAlignment="1">
      <alignment wrapText="1"/>
    </xf>
    <xf numFmtId="174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1" fontId="5" fillId="0" borderId="0" xfId="0" applyNumberFormat="1" applyFont="1" applyAlignment="1"/>
    <xf numFmtId="0" fontId="6" fillId="0" borderId="0" xfId="0" applyFont="1" applyBorder="1" applyAlignment="1">
      <alignment horizontal="center" wrapText="1"/>
    </xf>
    <xf numFmtId="171" fontId="5" fillId="0" borderId="0" xfId="0" applyNumberFormat="1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44" fontId="5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71" fontId="5" fillId="0" borderId="0" xfId="0" applyNumberFormat="1" applyFont="1" applyAlignment="1"/>
    <xf numFmtId="0" fontId="6" fillId="0" borderId="15" xfId="0" applyFont="1" applyBorder="1" applyAlignment="1">
      <alignment horizontal="center" wrapText="1"/>
    </xf>
  </cellXfs>
  <cellStyles count="14">
    <cellStyle name="Comma" xfId="1" builtinId="3"/>
    <cellStyle name="Comma 2" xfId="4"/>
    <cellStyle name="Comma 3" xfId="5"/>
    <cellStyle name="Comma 4" xfId="6"/>
    <cellStyle name="Currency" xfId="2" builtinId="4"/>
    <cellStyle name="Currency 2" xfId="7"/>
    <cellStyle name="Currency 3" xfId="8"/>
    <cellStyle name="Currency 4" xfId="9"/>
    <cellStyle name="Normal" xfId="0" builtinId="0"/>
    <cellStyle name="Normal 2" xfId="3"/>
    <cellStyle name="Normal 2 2" xfId="10"/>
    <cellStyle name="Normal 3" xfId="11"/>
    <cellStyle name="Normal 4" xfId="12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zczepan\AppData\Local\Microsoft\Windows\Temporary%20Internet%20Files\Content.Outlook\TMJVI7ZK\Copy%20of%20Earnings%20Release%20statements%20Q4%202016%20(January%2025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s of Operations"/>
      <sheetName val="Balance Sheet"/>
      <sheetName val="Statement of Cash Flows"/>
      <sheetName val="Debt Schedule"/>
      <sheetName val="Reconciliation page"/>
      <sheetName val="Operational Performance"/>
      <sheetName val="Sheet1"/>
    </sheetNames>
    <sheetDataSet>
      <sheetData sheetId="0">
        <row r="20">
          <cell r="A20" t="str">
            <v>Selling, general and administrative expenses</v>
          </cell>
          <cell r="B20">
            <v>22836</v>
          </cell>
          <cell r="C20">
            <v>59343</v>
          </cell>
          <cell r="E20">
            <v>98783</v>
          </cell>
        </row>
      </sheetData>
      <sheetData sheetId="1"/>
      <sheetData sheetId="2"/>
      <sheetData sheetId="3"/>
      <sheetData sheetId="4">
        <row r="39">
          <cell r="B39">
            <v>94497</v>
          </cell>
          <cell r="C39">
            <v>87303</v>
          </cell>
          <cell r="E39">
            <v>283797</v>
          </cell>
        </row>
        <row r="60">
          <cell r="B60">
            <v>7345</v>
          </cell>
        </row>
        <row r="86">
          <cell r="B86">
            <v>-57171</v>
          </cell>
          <cell r="C86">
            <v>-121674</v>
          </cell>
          <cell r="E86">
            <v>-181233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3"/>
  <sheetViews>
    <sheetView tabSelected="1" workbookViewId="0">
      <selection activeCell="A15" sqref="A15"/>
    </sheetView>
  </sheetViews>
  <sheetFormatPr defaultColWidth="21.5" defaultRowHeight="13.5" customHeight="1" x14ac:dyDescent="0.2"/>
  <cols>
    <col min="1" max="1" width="74" style="1" bestFit="1" customWidth="1"/>
    <col min="2" max="3" width="16.83203125" style="1" customWidth="1"/>
    <col min="4" max="4" width="0.6640625" style="1" customWidth="1"/>
    <col min="5" max="5" width="16.83203125" style="1" customWidth="1"/>
    <col min="6" max="16384" width="21.5" style="1"/>
  </cols>
  <sheetData>
    <row r="1" spans="1:8" ht="13.5" customHeight="1" x14ac:dyDescent="0.25">
      <c r="A1" s="296" t="s">
        <v>0</v>
      </c>
      <c r="B1" s="296"/>
      <c r="C1" s="296"/>
      <c r="D1" s="296"/>
      <c r="E1" s="296"/>
    </row>
    <row r="2" spans="1:8" ht="13.5" customHeight="1" x14ac:dyDescent="0.25">
      <c r="A2" s="296" t="s">
        <v>1</v>
      </c>
      <c r="B2" s="296"/>
      <c r="C2" s="296"/>
      <c r="D2" s="296"/>
      <c r="E2" s="296"/>
    </row>
    <row r="3" spans="1:8" ht="13.5" customHeight="1" x14ac:dyDescent="0.25">
      <c r="A3" s="296" t="s">
        <v>2</v>
      </c>
      <c r="B3" s="296"/>
      <c r="C3" s="296"/>
      <c r="D3" s="296"/>
      <c r="E3" s="296"/>
    </row>
    <row r="4" spans="1:8" ht="13.5" customHeight="1" x14ac:dyDescent="0.2">
      <c r="A4" s="2"/>
      <c r="B4" s="2"/>
      <c r="C4" s="2"/>
      <c r="D4" s="2"/>
    </row>
    <row r="5" spans="1:8" s="153" customFormat="1" ht="13.5" customHeight="1" x14ac:dyDescent="0.2">
      <c r="A5" s="23"/>
      <c r="B5" s="23"/>
      <c r="C5" s="23"/>
      <c r="D5" s="23"/>
    </row>
    <row r="6" spans="1:8" ht="13.5" customHeight="1" x14ac:dyDescent="0.2">
      <c r="A6" s="3"/>
      <c r="B6" s="171" t="s">
        <v>113</v>
      </c>
      <c r="C6" s="297" t="s">
        <v>110</v>
      </c>
      <c r="D6" s="297"/>
      <c r="E6" s="297"/>
    </row>
    <row r="7" spans="1:8" ht="45" x14ac:dyDescent="0.2">
      <c r="A7" s="3"/>
      <c r="B7" s="171" t="s">
        <v>112</v>
      </c>
      <c r="C7" s="150" t="s">
        <v>111</v>
      </c>
      <c r="D7" s="4" t="s">
        <v>3</v>
      </c>
      <c r="E7" s="150" t="s">
        <v>107</v>
      </c>
    </row>
    <row r="8" spans="1:8" ht="13.5" customHeight="1" x14ac:dyDescent="0.2">
      <c r="A8" s="3"/>
      <c r="B8" s="173" t="s">
        <v>4</v>
      </c>
      <c r="C8" s="190" t="s">
        <v>4</v>
      </c>
      <c r="D8" s="172"/>
      <c r="E8" s="172"/>
    </row>
    <row r="9" spans="1:8" ht="13.5" customHeight="1" x14ac:dyDescent="0.2">
      <c r="A9" s="3"/>
      <c r="B9" s="159"/>
      <c r="C9" s="127"/>
      <c r="D9" s="127"/>
      <c r="E9" s="127"/>
    </row>
    <row r="10" spans="1:8" ht="13.5" customHeight="1" x14ac:dyDescent="0.2">
      <c r="A10" s="63" t="s">
        <v>5</v>
      </c>
      <c r="B10" s="160">
        <v>575688</v>
      </c>
      <c r="C10" s="64">
        <v>1398709</v>
      </c>
      <c r="D10" s="64"/>
      <c r="E10" s="64">
        <v>2573260</v>
      </c>
      <c r="G10" s="140"/>
      <c r="H10" s="62"/>
    </row>
    <row r="11" spans="1:8" ht="13.5" customHeight="1" x14ac:dyDescent="0.2">
      <c r="A11" s="28"/>
      <c r="B11" s="161"/>
      <c r="C11" s="65"/>
      <c r="D11" s="65"/>
      <c r="E11" s="65"/>
      <c r="G11" s="140"/>
      <c r="H11" s="62"/>
    </row>
    <row r="12" spans="1:8" ht="13.5" customHeight="1" x14ac:dyDescent="0.2">
      <c r="A12" s="63" t="s">
        <v>6</v>
      </c>
      <c r="B12" s="161"/>
      <c r="C12" s="65"/>
      <c r="D12" s="65"/>
      <c r="E12" s="65"/>
      <c r="G12" s="140"/>
      <c r="H12" s="62"/>
    </row>
    <row r="13" spans="1:8" ht="13.5" customHeight="1" x14ac:dyDescent="0.2">
      <c r="A13" s="66" t="s">
        <v>7</v>
      </c>
      <c r="B13" s="162">
        <f>478278-7634</f>
        <v>470644</v>
      </c>
      <c r="C13" s="67">
        <f>1288785-24321</f>
        <v>1264464</v>
      </c>
      <c r="D13" s="67"/>
      <c r="E13" s="67">
        <f>2206433-33680</f>
        <v>2172753</v>
      </c>
      <c r="G13" s="140"/>
      <c r="H13" s="62"/>
    </row>
    <row r="14" spans="1:8" ht="13.5" customHeight="1" x14ac:dyDescent="0.2">
      <c r="A14" s="66" t="s">
        <v>8</v>
      </c>
      <c r="B14" s="162">
        <v>32604</v>
      </c>
      <c r="C14" s="67">
        <v>191581</v>
      </c>
      <c r="D14" s="67"/>
      <c r="E14" s="67">
        <v>379345</v>
      </c>
      <c r="G14" s="140"/>
      <c r="H14" s="62"/>
    </row>
    <row r="15" spans="1:8" s="153" customFormat="1" ht="13.5" customHeight="1" x14ac:dyDescent="0.2">
      <c r="A15" s="66" t="s">
        <v>122</v>
      </c>
      <c r="B15" s="162">
        <v>7634</v>
      </c>
      <c r="C15" s="67">
        <v>24321</v>
      </c>
      <c r="D15" s="67"/>
      <c r="E15" s="67">
        <v>33680</v>
      </c>
      <c r="G15" s="140"/>
      <c r="H15" s="62"/>
    </row>
    <row r="16" spans="1:8" ht="13.5" customHeight="1" x14ac:dyDescent="0.2">
      <c r="A16" s="66" t="s">
        <v>147</v>
      </c>
      <c r="B16" s="162">
        <v>796</v>
      </c>
      <c r="C16" s="67">
        <v>-728</v>
      </c>
      <c r="D16" s="67"/>
      <c r="E16" s="67">
        <v>-8811</v>
      </c>
      <c r="G16" s="140"/>
      <c r="H16" s="62"/>
    </row>
    <row r="17" spans="1:9" ht="13.5" customHeight="1" x14ac:dyDescent="0.2">
      <c r="A17" s="66" t="s">
        <v>9</v>
      </c>
      <c r="B17" s="162">
        <v>396</v>
      </c>
      <c r="C17" s="67">
        <v>2856</v>
      </c>
      <c r="D17" s="67"/>
      <c r="E17" s="67">
        <v>-1583</v>
      </c>
      <c r="G17" s="140"/>
      <c r="H17" s="62"/>
    </row>
    <row r="18" spans="1:9" s="55" customFormat="1" ht="13.5" customHeight="1" x14ac:dyDescent="0.2">
      <c r="A18" s="66" t="s">
        <v>92</v>
      </c>
      <c r="B18" s="162">
        <v>0</v>
      </c>
      <c r="C18" s="67">
        <v>129267</v>
      </c>
      <c r="D18" s="67"/>
      <c r="E18" s="67">
        <v>2628303</v>
      </c>
      <c r="F18" s="47"/>
      <c r="G18" s="140"/>
      <c r="H18" s="62"/>
    </row>
    <row r="19" spans="1:9" s="109" customFormat="1" ht="13.5" customHeight="1" x14ac:dyDescent="0.2">
      <c r="A19" s="66" t="s">
        <v>95</v>
      </c>
      <c r="B19" s="162">
        <v>0</v>
      </c>
      <c r="C19" s="67">
        <v>0</v>
      </c>
      <c r="D19" s="67"/>
      <c r="E19" s="67">
        <v>116343</v>
      </c>
      <c r="G19" s="140"/>
      <c r="H19" s="62"/>
    </row>
    <row r="20" spans="1:9" ht="13.5" customHeight="1" x14ac:dyDescent="0.2">
      <c r="A20" s="66" t="s">
        <v>10</v>
      </c>
      <c r="B20" s="162">
        <v>22836</v>
      </c>
      <c r="C20" s="67">
        <v>59343</v>
      </c>
      <c r="D20" s="67"/>
      <c r="E20" s="67">
        <v>98783</v>
      </c>
      <c r="G20" s="140"/>
      <c r="H20" s="62"/>
    </row>
    <row r="21" spans="1:9" ht="13.5" customHeight="1" x14ac:dyDescent="0.2">
      <c r="A21" s="66" t="s">
        <v>90</v>
      </c>
      <c r="B21" s="163">
        <v>-5340</v>
      </c>
      <c r="C21" s="68">
        <v>-15257</v>
      </c>
      <c r="D21" s="67"/>
      <c r="E21" s="68">
        <v>19510</v>
      </c>
      <c r="G21" s="140"/>
      <c r="H21" s="62"/>
      <c r="I21" s="47"/>
    </row>
    <row r="22" spans="1:9" ht="13.5" customHeight="1" x14ac:dyDescent="0.2">
      <c r="A22" s="69"/>
      <c r="B22" s="163">
        <f>SUM(B13:B21)</f>
        <v>529570</v>
      </c>
      <c r="C22" s="70">
        <f>SUM(C13:C21)</f>
        <v>1655847</v>
      </c>
      <c r="D22" s="67"/>
      <c r="E22" s="68">
        <f>SUM(E13:E21)</f>
        <v>5438323</v>
      </c>
      <c r="G22" s="140"/>
      <c r="H22" s="62"/>
    </row>
    <row r="23" spans="1:9" ht="13.5" customHeight="1" x14ac:dyDescent="0.2">
      <c r="A23" s="28"/>
      <c r="B23" s="162"/>
      <c r="C23" s="67"/>
      <c r="D23" s="67"/>
      <c r="E23" s="67"/>
      <c r="G23" s="140"/>
      <c r="H23" s="62"/>
    </row>
    <row r="24" spans="1:9" ht="13.5" customHeight="1" x14ac:dyDescent="0.2">
      <c r="A24" s="71" t="s">
        <v>105</v>
      </c>
      <c r="B24" s="162">
        <f>+B10-B22</f>
        <v>46118</v>
      </c>
      <c r="C24" s="67">
        <f>+C10-C22</f>
        <v>-257138</v>
      </c>
      <c r="D24" s="67"/>
      <c r="E24" s="67">
        <f>+E10-E22</f>
        <v>-2865063</v>
      </c>
      <c r="G24" s="140"/>
      <c r="H24" s="62"/>
    </row>
    <row r="25" spans="1:9" ht="13.5" customHeight="1" x14ac:dyDescent="0.2">
      <c r="A25" s="28"/>
      <c r="B25" s="162"/>
      <c r="C25" s="67"/>
      <c r="D25" s="67"/>
      <c r="E25" s="67"/>
      <c r="G25" s="140"/>
      <c r="H25" s="62"/>
    </row>
    <row r="26" spans="1:9" ht="13.5" customHeight="1" x14ac:dyDescent="0.2">
      <c r="A26" s="63" t="s">
        <v>11</v>
      </c>
      <c r="B26" s="162"/>
      <c r="C26" s="67"/>
      <c r="D26" s="67"/>
      <c r="E26" s="67"/>
      <c r="G26" s="140"/>
      <c r="H26" s="62"/>
    </row>
    <row r="27" spans="1:9" ht="13.5" customHeight="1" x14ac:dyDescent="0.2">
      <c r="A27" s="66" t="s">
        <v>12</v>
      </c>
      <c r="B27" s="162">
        <v>-11241</v>
      </c>
      <c r="C27" s="67">
        <v>-135888</v>
      </c>
      <c r="D27" s="67"/>
      <c r="E27" s="67">
        <v>-397979</v>
      </c>
      <c r="G27" s="140"/>
      <c r="H27" s="62"/>
    </row>
    <row r="28" spans="1:9" ht="13.5" customHeight="1" x14ac:dyDescent="0.2">
      <c r="A28" s="66" t="s">
        <v>13</v>
      </c>
      <c r="B28" s="162">
        <v>487</v>
      </c>
      <c r="C28" s="68">
        <v>2653</v>
      </c>
      <c r="D28" s="67"/>
      <c r="E28" s="67">
        <v>4430</v>
      </c>
      <c r="G28" s="140"/>
      <c r="H28" s="62"/>
    </row>
    <row r="29" spans="1:9" ht="13.5" customHeight="1" x14ac:dyDescent="0.2">
      <c r="A29" s="28"/>
      <c r="B29" s="164">
        <f>SUM(B27:B28)</f>
        <v>-10754</v>
      </c>
      <c r="C29" s="70">
        <f>SUM(C27:C28)</f>
        <v>-133235</v>
      </c>
      <c r="D29" s="67"/>
      <c r="E29" s="70">
        <f>SUM(E27:E28)</f>
        <v>-393549</v>
      </c>
      <c r="G29" s="140"/>
      <c r="H29" s="62"/>
    </row>
    <row r="30" spans="1:9" ht="13.5" customHeight="1" x14ac:dyDescent="0.2">
      <c r="A30" s="28"/>
      <c r="B30" s="162"/>
      <c r="C30" s="67"/>
      <c r="D30" s="67"/>
      <c r="E30" s="67"/>
      <c r="G30" s="140"/>
      <c r="H30" s="62"/>
    </row>
    <row r="31" spans="1:9" s="153" customFormat="1" ht="13.5" customHeight="1" x14ac:dyDescent="0.2">
      <c r="A31" s="151" t="s">
        <v>137</v>
      </c>
      <c r="B31" s="162">
        <f>B24+B29</f>
        <v>35364</v>
      </c>
      <c r="C31" s="67">
        <f>C24+C29</f>
        <v>-390373</v>
      </c>
      <c r="D31" s="67"/>
      <c r="E31" s="67">
        <f>E24+E29</f>
        <v>-3258612</v>
      </c>
      <c r="G31" s="140"/>
      <c r="H31" s="62"/>
    </row>
    <row r="32" spans="1:9" s="153" customFormat="1" ht="13.5" customHeight="1" x14ac:dyDescent="0.2">
      <c r="A32" s="151"/>
      <c r="B32" s="162"/>
      <c r="C32" s="67"/>
      <c r="D32" s="67"/>
      <c r="E32" s="67"/>
      <c r="G32" s="140"/>
      <c r="H32" s="62"/>
    </row>
    <row r="33" spans="1:8" s="58" customFormat="1" ht="13.5" customHeight="1" x14ac:dyDescent="0.2">
      <c r="A33" s="72" t="s">
        <v>138</v>
      </c>
      <c r="B33" s="162"/>
      <c r="C33" s="67"/>
      <c r="D33" s="67"/>
      <c r="E33" s="67"/>
      <c r="G33" s="140"/>
      <c r="H33" s="62"/>
    </row>
    <row r="34" spans="1:8" s="58" customFormat="1" ht="13.5" customHeight="1" x14ac:dyDescent="0.2">
      <c r="A34" s="66" t="s">
        <v>97</v>
      </c>
      <c r="B34" s="162">
        <v>0</v>
      </c>
      <c r="C34" s="74">
        <v>-2213</v>
      </c>
      <c r="D34" s="67"/>
      <c r="E34" s="74">
        <v>-27910</v>
      </c>
      <c r="G34" s="140"/>
      <c r="H34" s="62"/>
    </row>
    <row r="35" spans="1:8" s="115" customFormat="1" ht="13.5" customHeight="1" x14ac:dyDescent="0.2">
      <c r="A35" s="66" t="s">
        <v>99</v>
      </c>
      <c r="B35" s="163">
        <v>-759</v>
      </c>
      <c r="C35" s="68">
        <v>1630041</v>
      </c>
      <c r="D35" s="67"/>
      <c r="E35" s="68">
        <v>0</v>
      </c>
      <c r="G35" s="140"/>
      <c r="H35" s="62"/>
    </row>
    <row r="36" spans="1:8" s="106" customFormat="1" ht="13.5" customHeight="1" x14ac:dyDescent="0.2">
      <c r="A36" s="66"/>
      <c r="B36" s="164">
        <f>SUM(B34:B35)</f>
        <v>-759</v>
      </c>
      <c r="C36" s="70">
        <f>SUM(C34:C35)</f>
        <v>1627828</v>
      </c>
      <c r="D36" s="67"/>
      <c r="E36" s="70">
        <f>SUM(E34:E35)</f>
        <v>-27910</v>
      </c>
      <c r="G36" s="140"/>
      <c r="H36" s="62"/>
    </row>
    <row r="37" spans="1:8" s="58" customFormat="1" ht="13.5" customHeight="1" x14ac:dyDescent="0.2">
      <c r="A37" s="28"/>
      <c r="B37" s="162"/>
      <c r="C37" s="67"/>
      <c r="D37" s="67"/>
      <c r="E37" s="67"/>
      <c r="G37" s="140"/>
      <c r="H37" s="62"/>
    </row>
    <row r="38" spans="1:8" ht="13.5" customHeight="1" x14ac:dyDescent="0.2">
      <c r="A38" s="73" t="s">
        <v>125</v>
      </c>
      <c r="B38" s="162">
        <f>B31+B36</f>
        <v>34605</v>
      </c>
      <c r="C38" s="67">
        <f>C31+C36</f>
        <v>1237455</v>
      </c>
      <c r="D38" s="67"/>
      <c r="E38" s="67">
        <f>E31+E36</f>
        <v>-3286522</v>
      </c>
      <c r="G38" s="140"/>
      <c r="H38" s="62"/>
    </row>
    <row r="39" spans="1:8" ht="13.5" customHeight="1" x14ac:dyDescent="0.2">
      <c r="A39" s="73" t="s">
        <v>109</v>
      </c>
      <c r="B39" s="163">
        <v>1156</v>
      </c>
      <c r="C39" s="68">
        <v>-4626</v>
      </c>
      <c r="D39" s="67"/>
      <c r="E39" s="68">
        <v>-373380</v>
      </c>
      <c r="G39" s="140"/>
      <c r="H39" s="62"/>
    </row>
    <row r="40" spans="1:8" s="33" customFormat="1" ht="13.5" customHeight="1" x14ac:dyDescent="0.2">
      <c r="A40" s="73"/>
      <c r="B40" s="162"/>
      <c r="C40" s="74"/>
      <c r="D40" s="67"/>
      <c r="E40" s="74"/>
      <c r="G40" s="140"/>
      <c r="H40" s="62"/>
    </row>
    <row r="41" spans="1:8" ht="13.5" customHeight="1" thickBot="1" x14ac:dyDescent="0.25">
      <c r="A41" s="75" t="s">
        <v>132</v>
      </c>
      <c r="B41" s="165">
        <f>B38-B39</f>
        <v>33449</v>
      </c>
      <c r="C41" s="76">
        <f>C38-C39</f>
        <v>1242081</v>
      </c>
      <c r="D41" s="67"/>
      <c r="E41" s="76">
        <f>E38-E39</f>
        <v>-2913142</v>
      </c>
      <c r="G41" s="140"/>
      <c r="H41" s="62"/>
    </row>
    <row r="42" spans="1:8" ht="13.5" customHeight="1" thickTop="1" x14ac:dyDescent="0.2">
      <c r="A42" s="72"/>
      <c r="B42" s="161"/>
      <c r="C42" s="141"/>
      <c r="D42" s="65"/>
      <c r="E42" s="65"/>
      <c r="G42" s="140"/>
    </row>
    <row r="43" spans="1:8" ht="13.5" customHeight="1" x14ac:dyDescent="0.2">
      <c r="A43" s="63" t="s">
        <v>126</v>
      </c>
      <c r="B43" s="166"/>
      <c r="C43" s="77"/>
      <c r="D43" s="77"/>
      <c r="E43" s="77"/>
      <c r="G43" s="140"/>
    </row>
    <row r="44" spans="1:8" ht="13.5" customHeight="1" thickBot="1" x14ac:dyDescent="0.25">
      <c r="A44" s="107" t="s">
        <v>143</v>
      </c>
      <c r="B44" s="167">
        <f>B41/B48</f>
        <v>1.3378529717622589</v>
      </c>
      <c r="C44" s="156" t="s">
        <v>108</v>
      </c>
      <c r="D44" s="78"/>
      <c r="E44" s="156" t="s">
        <v>108</v>
      </c>
      <c r="G44" s="140"/>
    </row>
    <row r="45" spans="1:8" s="222" customFormat="1" ht="13.5" customHeight="1" thickTop="1" x14ac:dyDescent="0.2">
      <c r="A45" s="221"/>
      <c r="B45" s="223"/>
      <c r="C45" s="224"/>
      <c r="D45" s="78"/>
      <c r="E45" s="224"/>
      <c r="G45" s="140"/>
    </row>
    <row r="46" spans="1:8" s="222" customFormat="1" ht="13.5" customHeight="1" thickBot="1" x14ac:dyDescent="0.25">
      <c r="A46" s="221" t="s">
        <v>139</v>
      </c>
      <c r="B46" s="226">
        <f>B41/B50</f>
        <v>1.3133220778200949</v>
      </c>
      <c r="C46" s="156" t="s">
        <v>108</v>
      </c>
      <c r="D46" s="78"/>
      <c r="E46" s="156" t="s">
        <v>108</v>
      </c>
      <c r="G46" s="140"/>
    </row>
    <row r="47" spans="1:8" ht="13.5" customHeight="1" thickTop="1" x14ac:dyDescent="0.2">
      <c r="A47" s="108"/>
      <c r="B47" s="161"/>
      <c r="C47" s="65"/>
      <c r="D47" s="65"/>
      <c r="E47" s="65"/>
      <c r="G47" s="140"/>
    </row>
    <row r="48" spans="1:8" ht="13.5" customHeight="1" thickBot="1" x14ac:dyDescent="0.25">
      <c r="A48" s="107" t="s">
        <v>140</v>
      </c>
      <c r="B48" s="168">
        <v>25002</v>
      </c>
      <c r="C48" s="157" t="s">
        <v>108</v>
      </c>
      <c r="D48" s="67"/>
      <c r="E48" s="157" t="s">
        <v>108</v>
      </c>
      <c r="G48" s="140"/>
    </row>
    <row r="49" spans="1:7" s="222" customFormat="1" ht="13.5" customHeight="1" thickTop="1" x14ac:dyDescent="0.2">
      <c r="A49" s="221"/>
      <c r="B49" s="162"/>
      <c r="C49" s="225"/>
      <c r="D49" s="67"/>
      <c r="E49" s="225"/>
      <c r="G49" s="140"/>
    </row>
    <row r="50" spans="1:7" s="222" customFormat="1" ht="13.5" customHeight="1" thickBot="1" x14ac:dyDescent="0.25">
      <c r="A50" s="221" t="s">
        <v>14</v>
      </c>
      <c r="B50" s="168">
        <v>25469</v>
      </c>
      <c r="C50" s="157" t="s">
        <v>108</v>
      </c>
      <c r="D50" s="67"/>
      <c r="E50" s="157" t="s">
        <v>108</v>
      </c>
      <c r="G50" s="140"/>
    </row>
    <row r="51" spans="1:7" ht="13.5" customHeight="1" thickTop="1" x14ac:dyDescent="0.2">
      <c r="A51" s="108"/>
      <c r="B51" s="161"/>
      <c r="C51" s="65"/>
      <c r="D51" s="65"/>
      <c r="E51" s="65"/>
    </row>
    <row r="52" spans="1:7" ht="13.5" customHeight="1" thickBot="1" x14ac:dyDescent="0.25">
      <c r="A52" s="63" t="s">
        <v>161</v>
      </c>
      <c r="B52" s="169">
        <f>'Reconciliation page'!B37</f>
        <v>94497</v>
      </c>
      <c r="C52" s="79">
        <f>'Reconciliation page'!C37</f>
        <v>87303</v>
      </c>
      <c r="D52" s="132"/>
      <c r="E52" s="79">
        <f>'Reconciliation page'!E37</f>
        <v>283797</v>
      </c>
    </row>
    <row r="53" spans="1:7" ht="13.5" customHeight="1" thickTop="1" thickBot="1" x14ac:dyDescent="0.25">
      <c r="A53" s="63" t="s">
        <v>146</v>
      </c>
      <c r="B53" s="170">
        <f>'Reconciliation page'!B74</f>
        <v>1.6514978994071221</v>
      </c>
      <c r="C53" s="158" t="s">
        <v>108</v>
      </c>
      <c r="D53" s="80"/>
      <c r="E53" s="158" t="s">
        <v>108</v>
      </c>
    </row>
    <row r="54" spans="1:7" ht="36.75" customHeight="1" thickTop="1" x14ac:dyDescent="0.2">
      <c r="A54" s="294" t="s">
        <v>127</v>
      </c>
      <c r="B54" s="295"/>
      <c r="C54" s="295"/>
      <c r="D54" s="295"/>
    </row>
    <row r="55" spans="1:7" ht="13.5" customHeight="1" x14ac:dyDescent="0.2">
      <c r="A55" s="28"/>
      <c r="B55" s="28"/>
      <c r="C55" s="28"/>
      <c r="D55" s="28"/>
    </row>
    <row r="56" spans="1:7" ht="13.5" customHeight="1" x14ac:dyDescent="0.2">
      <c r="A56" s="28"/>
      <c r="B56" s="31"/>
      <c r="C56" s="28"/>
      <c r="D56" s="28"/>
    </row>
    <row r="57" spans="1:7" ht="13.5" customHeight="1" x14ac:dyDescent="0.2">
      <c r="A57" s="28"/>
      <c r="B57" s="82"/>
      <c r="C57" s="31"/>
      <c r="D57" s="28"/>
    </row>
    <row r="58" spans="1:7" ht="13.5" customHeight="1" x14ac:dyDescent="0.2">
      <c r="A58" s="28"/>
      <c r="B58" s="28"/>
      <c r="C58" s="28"/>
      <c r="D58" s="28"/>
    </row>
    <row r="59" spans="1:7" ht="13.5" customHeight="1" x14ac:dyDescent="0.2">
      <c r="A59" s="28"/>
      <c r="B59" s="28"/>
      <c r="C59" s="28"/>
      <c r="D59" s="28"/>
    </row>
    <row r="60" spans="1:7" ht="13.5" customHeight="1" x14ac:dyDescent="0.2">
      <c r="A60" s="83"/>
      <c r="B60" s="83"/>
      <c r="C60" s="83"/>
      <c r="D60" s="83"/>
    </row>
    <row r="61" spans="1:7" ht="13.5" customHeight="1" x14ac:dyDescent="0.2">
      <c r="A61" s="83"/>
      <c r="B61" s="83"/>
      <c r="C61" s="83"/>
      <c r="D61" s="83"/>
    </row>
    <row r="62" spans="1:7" ht="13.5" customHeight="1" x14ac:dyDescent="0.2">
      <c r="A62" s="2"/>
      <c r="B62" s="2"/>
      <c r="C62" s="2"/>
      <c r="D62" s="2"/>
    </row>
    <row r="63" spans="1:7" ht="13.5" customHeight="1" x14ac:dyDescent="0.2">
      <c r="A63" s="2"/>
      <c r="B63" s="2"/>
      <c r="C63" s="2"/>
      <c r="D63" s="2"/>
    </row>
    <row r="64" spans="1:7" ht="13.5" customHeight="1" x14ac:dyDescent="0.2">
      <c r="A64" s="2"/>
      <c r="B64" s="2"/>
      <c r="C64" s="2"/>
      <c r="D64" s="2"/>
    </row>
    <row r="65" spans="1:4" ht="13.5" customHeight="1" x14ac:dyDescent="0.2">
      <c r="A65" s="2"/>
      <c r="B65" s="2"/>
      <c r="C65" s="2"/>
      <c r="D65" s="2"/>
    </row>
    <row r="66" spans="1:4" ht="13.5" customHeight="1" x14ac:dyDescent="0.2">
      <c r="A66" s="2"/>
      <c r="B66" s="2"/>
      <c r="C66" s="2"/>
      <c r="D66" s="2"/>
    </row>
    <row r="67" spans="1:4" ht="13.5" customHeight="1" x14ac:dyDescent="0.2">
      <c r="A67" s="2"/>
      <c r="B67" s="2"/>
      <c r="C67" s="2"/>
      <c r="D67" s="2"/>
    </row>
    <row r="68" spans="1:4" ht="13.5" customHeight="1" x14ac:dyDescent="0.2">
      <c r="A68" s="2"/>
      <c r="B68" s="2"/>
      <c r="C68" s="2"/>
      <c r="D68" s="2"/>
    </row>
    <row r="69" spans="1:4" ht="13.5" customHeight="1" x14ac:dyDescent="0.2">
      <c r="A69" s="2"/>
      <c r="B69" s="2"/>
      <c r="C69" s="2"/>
      <c r="D69" s="2"/>
    </row>
    <row r="70" spans="1:4" ht="13.5" customHeight="1" x14ac:dyDescent="0.2">
      <c r="A70" s="2"/>
      <c r="B70" s="2"/>
      <c r="C70" s="2"/>
      <c r="D70" s="2"/>
    </row>
    <row r="71" spans="1:4" ht="13.5" customHeight="1" x14ac:dyDescent="0.2">
      <c r="A71" s="2"/>
      <c r="B71" s="2"/>
      <c r="C71" s="2"/>
      <c r="D71" s="2"/>
    </row>
    <row r="72" spans="1:4" ht="13.5" customHeight="1" x14ac:dyDescent="0.2">
      <c r="A72" s="2"/>
      <c r="B72" s="2"/>
      <c r="C72" s="2"/>
      <c r="D72" s="2"/>
    </row>
    <row r="73" spans="1:4" ht="13.5" customHeight="1" x14ac:dyDescent="0.2">
      <c r="A73" s="2"/>
      <c r="B73" s="2"/>
      <c r="C73" s="2"/>
      <c r="D73" s="2"/>
    </row>
    <row r="74" spans="1:4" ht="13.5" customHeight="1" x14ac:dyDescent="0.2">
      <c r="A74" s="2"/>
      <c r="B74" s="2"/>
      <c r="C74" s="2"/>
      <c r="D74" s="2"/>
    </row>
    <row r="75" spans="1:4" ht="13.5" customHeight="1" x14ac:dyDescent="0.2">
      <c r="A75" s="2"/>
      <c r="B75" s="2"/>
      <c r="C75" s="2"/>
      <c r="D75" s="2"/>
    </row>
    <row r="76" spans="1:4" ht="13.5" customHeight="1" x14ac:dyDescent="0.2">
      <c r="A76" s="2"/>
      <c r="B76" s="2"/>
      <c r="C76" s="2"/>
      <c r="D76" s="2"/>
    </row>
    <row r="77" spans="1:4" ht="13.5" customHeight="1" x14ac:dyDescent="0.2">
      <c r="A77" s="2"/>
      <c r="B77" s="2"/>
      <c r="C77" s="2"/>
      <c r="D77" s="2"/>
    </row>
    <row r="78" spans="1:4" ht="13.5" customHeight="1" x14ac:dyDescent="0.2">
      <c r="A78" s="2"/>
      <c r="B78" s="2"/>
      <c r="C78" s="2"/>
      <c r="D78" s="2"/>
    </row>
    <row r="79" spans="1:4" ht="13.5" customHeight="1" x14ac:dyDescent="0.2">
      <c r="A79" s="2"/>
      <c r="B79" s="2"/>
      <c r="C79" s="2"/>
      <c r="D79" s="2"/>
    </row>
    <row r="80" spans="1:4" ht="13.5" customHeight="1" x14ac:dyDescent="0.2">
      <c r="A80" s="2"/>
      <c r="B80" s="2"/>
      <c r="C80" s="2"/>
      <c r="D80" s="2"/>
    </row>
    <row r="81" spans="1:4" ht="13.5" customHeight="1" x14ac:dyDescent="0.2">
      <c r="A81" s="2"/>
      <c r="B81" s="2"/>
      <c r="C81" s="2"/>
      <c r="D81" s="2"/>
    </row>
    <row r="82" spans="1:4" ht="13.5" customHeight="1" x14ac:dyDescent="0.2">
      <c r="A82" s="2"/>
      <c r="B82" s="2"/>
      <c r="C82" s="2"/>
      <c r="D82" s="2"/>
    </row>
    <row r="83" spans="1:4" ht="13.5" customHeight="1" x14ac:dyDescent="0.2">
      <c r="A83" s="2"/>
      <c r="B83" s="2"/>
      <c r="C83" s="2"/>
      <c r="D83" s="2"/>
    </row>
    <row r="84" spans="1:4" ht="13.5" customHeight="1" x14ac:dyDescent="0.2">
      <c r="A84" s="2"/>
      <c r="B84" s="2"/>
      <c r="C84" s="2"/>
      <c r="D84" s="2"/>
    </row>
    <row r="85" spans="1:4" ht="13.5" customHeight="1" x14ac:dyDescent="0.2">
      <c r="A85" s="2"/>
      <c r="B85" s="2"/>
      <c r="C85" s="2"/>
      <c r="D85" s="2"/>
    </row>
    <row r="86" spans="1:4" ht="13.5" customHeight="1" x14ac:dyDescent="0.2">
      <c r="A86" s="2"/>
      <c r="B86" s="2"/>
      <c r="C86" s="2"/>
      <c r="D86" s="2"/>
    </row>
    <row r="87" spans="1:4" ht="13.5" customHeight="1" x14ac:dyDescent="0.2">
      <c r="A87" s="2"/>
      <c r="B87" s="2"/>
      <c r="C87" s="2"/>
      <c r="D87" s="2"/>
    </row>
    <row r="88" spans="1:4" ht="13.5" customHeight="1" x14ac:dyDescent="0.2">
      <c r="A88" s="2"/>
      <c r="B88" s="2"/>
      <c r="C88" s="2"/>
      <c r="D88" s="2"/>
    </row>
    <row r="89" spans="1:4" ht="13.5" customHeight="1" x14ac:dyDescent="0.2">
      <c r="A89" s="2"/>
      <c r="B89" s="2"/>
      <c r="C89" s="2"/>
      <c r="D89" s="2"/>
    </row>
    <row r="90" spans="1:4" ht="13.5" customHeight="1" x14ac:dyDescent="0.2">
      <c r="A90" s="2"/>
      <c r="B90" s="2"/>
      <c r="C90" s="2"/>
      <c r="D90" s="2"/>
    </row>
    <row r="91" spans="1:4" ht="13.5" customHeight="1" x14ac:dyDescent="0.2">
      <c r="A91" s="2"/>
      <c r="B91" s="2"/>
      <c r="C91" s="2"/>
      <c r="D91" s="2"/>
    </row>
    <row r="92" spans="1:4" ht="13.5" customHeight="1" x14ac:dyDescent="0.2">
      <c r="A92" s="2"/>
      <c r="B92" s="2"/>
      <c r="C92" s="2"/>
      <c r="D92" s="2"/>
    </row>
    <row r="93" spans="1:4" ht="13.5" customHeight="1" x14ac:dyDescent="0.2">
      <c r="A93" s="2"/>
      <c r="B93" s="2"/>
      <c r="C93" s="2"/>
      <c r="D93" s="2"/>
    </row>
    <row r="94" spans="1:4" ht="13.5" customHeight="1" x14ac:dyDescent="0.2">
      <c r="A94" s="2"/>
      <c r="B94" s="2"/>
      <c r="C94" s="2"/>
      <c r="D94" s="2"/>
    </row>
    <row r="95" spans="1:4" ht="13.5" customHeight="1" x14ac:dyDescent="0.2">
      <c r="A95" s="2"/>
      <c r="B95" s="2"/>
      <c r="C95" s="2"/>
      <c r="D95" s="2"/>
    </row>
    <row r="96" spans="1:4" ht="13.5" customHeight="1" x14ac:dyDescent="0.2">
      <c r="A96" s="2"/>
      <c r="B96" s="2"/>
      <c r="C96" s="2"/>
      <c r="D96" s="2"/>
    </row>
    <row r="97" spans="1:4" ht="13.5" customHeight="1" x14ac:dyDescent="0.2">
      <c r="A97" s="2"/>
      <c r="B97" s="2"/>
      <c r="C97" s="2"/>
      <c r="D97" s="2"/>
    </row>
    <row r="98" spans="1:4" ht="13.5" customHeight="1" x14ac:dyDescent="0.2">
      <c r="A98" s="2"/>
      <c r="B98" s="2"/>
      <c r="C98" s="2"/>
      <c r="D98" s="2"/>
    </row>
    <row r="99" spans="1:4" ht="13.5" customHeight="1" x14ac:dyDescent="0.2">
      <c r="A99" s="2"/>
      <c r="B99" s="2"/>
      <c r="C99" s="2"/>
      <c r="D99" s="2"/>
    </row>
    <row r="100" spans="1:4" ht="13.5" customHeight="1" x14ac:dyDescent="0.2">
      <c r="A100" s="2"/>
      <c r="B100" s="2"/>
      <c r="C100" s="2"/>
      <c r="D100" s="2"/>
    </row>
    <row r="101" spans="1:4" ht="13.5" customHeight="1" x14ac:dyDescent="0.2">
      <c r="A101" s="2"/>
      <c r="B101" s="2"/>
      <c r="C101" s="2"/>
      <c r="D101" s="2"/>
    </row>
    <row r="102" spans="1:4" ht="13.5" customHeight="1" x14ac:dyDescent="0.2">
      <c r="A102" s="2"/>
      <c r="B102" s="2"/>
      <c r="C102" s="2"/>
      <c r="D102" s="2"/>
    </row>
    <row r="103" spans="1:4" ht="13.5" customHeight="1" x14ac:dyDescent="0.2">
      <c r="A103" s="2"/>
      <c r="B103" s="2"/>
      <c r="C103" s="2"/>
      <c r="D103" s="2"/>
    </row>
  </sheetData>
  <mergeCells count="5">
    <mergeCell ref="A54:D54"/>
    <mergeCell ref="A1:E1"/>
    <mergeCell ref="A2:E2"/>
    <mergeCell ref="A3:E3"/>
    <mergeCell ref="C6:E6"/>
  </mergeCells>
  <pageMargins left="0.7" right="0.7" top="0.75" bottom="0.75" header="0.3" footer="0.3"/>
  <pageSetup scale="80" orientation="portrait" r:id="rId1"/>
  <ignoredErrors>
    <ignoredError sqref="B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9"/>
  <sheetViews>
    <sheetView workbookViewId="0">
      <selection activeCell="A15" sqref="A15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1.5" style="124"/>
    <col min="6" max="16384" width="21.5" style="1"/>
  </cols>
  <sheetData>
    <row r="1" spans="1:5" ht="13.5" customHeight="1" x14ac:dyDescent="0.25">
      <c r="A1" s="296" t="s">
        <v>0</v>
      </c>
      <c r="B1" s="298"/>
      <c r="C1" s="298"/>
    </row>
    <row r="2" spans="1:5" ht="13.5" customHeight="1" x14ac:dyDescent="0.25">
      <c r="A2" s="296" t="s">
        <v>15</v>
      </c>
      <c r="B2" s="298"/>
      <c r="C2" s="298"/>
    </row>
    <row r="3" spans="1:5" ht="13.5" customHeight="1" x14ac:dyDescent="0.25">
      <c r="A3" s="296" t="s">
        <v>16</v>
      </c>
      <c r="B3" s="298"/>
      <c r="C3" s="298"/>
    </row>
    <row r="4" spans="1:5" ht="13.5" customHeight="1" x14ac:dyDescent="0.2">
      <c r="A4" s="3"/>
      <c r="B4" s="3"/>
      <c r="C4" s="3"/>
      <c r="D4" s="3"/>
    </row>
    <row r="5" spans="1:5" s="153" customFormat="1" ht="13.5" customHeight="1" x14ac:dyDescent="0.2">
      <c r="A5" s="152"/>
      <c r="B5" s="177" t="s">
        <v>113</v>
      </c>
      <c r="C5" s="155" t="s">
        <v>110</v>
      </c>
      <c r="D5" s="152"/>
      <c r="E5" s="124"/>
    </row>
    <row r="6" spans="1:5" ht="13.5" customHeight="1" x14ac:dyDescent="0.2">
      <c r="A6" s="3"/>
      <c r="B6" s="178" t="s">
        <v>76</v>
      </c>
      <c r="C6" s="176" t="s">
        <v>76</v>
      </c>
      <c r="D6" s="3"/>
    </row>
    <row r="7" spans="1:5" ht="13.5" customHeight="1" x14ac:dyDescent="0.2">
      <c r="A7" s="3"/>
      <c r="B7" s="171">
        <v>2016</v>
      </c>
      <c r="C7" s="14">
        <v>2015</v>
      </c>
      <c r="D7" s="3"/>
    </row>
    <row r="8" spans="1:5" ht="13.5" customHeight="1" x14ac:dyDescent="0.2">
      <c r="A8" s="3"/>
      <c r="B8" s="189" t="s">
        <v>4</v>
      </c>
      <c r="C8" s="175"/>
      <c r="D8" s="3"/>
    </row>
    <row r="9" spans="1:5" ht="13.5" customHeight="1" x14ac:dyDescent="0.2">
      <c r="A9" s="5" t="s">
        <v>17</v>
      </c>
      <c r="B9" s="159"/>
      <c r="C9" s="3"/>
      <c r="D9" s="3"/>
    </row>
    <row r="10" spans="1:5" ht="13.5" customHeight="1" x14ac:dyDescent="0.2">
      <c r="A10" s="5" t="s">
        <v>18</v>
      </c>
      <c r="B10" s="159"/>
      <c r="C10" s="3"/>
      <c r="D10" s="3"/>
    </row>
    <row r="11" spans="1:5" ht="13.5" customHeight="1" x14ac:dyDescent="0.2">
      <c r="A11" s="6" t="s">
        <v>19</v>
      </c>
      <c r="B11" s="179">
        <v>305372</v>
      </c>
      <c r="C11" s="86">
        <v>450781</v>
      </c>
      <c r="D11" s="3"/>
    </row>
    <row r="12" spans="1:5" ht="13.5" customHeight="1" x14ac:dyDescent="0.2">
      <c r="A12" s="6" t="s">
        <v>20</v>
      </c>
      <c r="B12" s="180">
        <v>88072</v>
      </c>
      <c r="C12" s="88">
        <v>200192</v>
      </c>
      <c r="D12" s="3"/>
    </row>
    <row r="13" spans="1:5" s="58" customFormat="1" ht="13.5" customHeight="1" x14ac:dyDescent="0.2">
      <c r="A13" s="6" t="s">
        <v>93</v>
      </c>
      <c r="B13" s="180">
        <v>71050</v>
      </c>
      <c r="C13" s="88">
        <v>97542</v>
      </c>
      <c r="D13" s="57"/>
      <c r="E13" s="124"/>
    </row>
    <row r="14" spans="1:5" ht="13.5" customHeight="1" x14ac:dyDescent="0.2">
      <c r="A14" s="6" t="s">
        <v>21</v>
      </c>
      <c r="B14" s="180">
        <v>184483</v>
      </c>
      <c r="C14" s="88">
        <v>117405</v>
      </c>
      <c r="D14" s="3"/>
    </row>
    <row r="15" spans="1:5" ht="13.5" customHeight="1" x14ac:dyDescent="0.2">
      <c r="A15" s="6" t="s">
        <v>22</v>
      </c>
      <c r="B15" s="180">
        <f>19077+800</f>
        <v>19877</v>
      </c>
      <c r="C15" s="88">
        <v>18362</v>
      </c>
      <c r="D15" s="3"/>
    </row>
    <row r="16" spans="1:5" ht="13.5" customHeight="1" x14ac:dyDescent="0.2">
      <c r="A16" s="6" t="s">
        <v>23</v>
      </c>
      <c r="B16" s="180">
        <v>113462</v>
      </c>
      <c r="C16" s="88">
        <v>196720</v>
      </c>
      <c r="D16" s="3"/>
    </row>
    <row r="17" spans="1:6" ht="13.5" customHeight="1" x14ac:dyDescent="0.2">
      <c r="A17" s="6" t="s">
        <v>24</v>
      </c>
      <c r="B17" s="180">
        <v>2281</v>
      </c>
      <c r="C17" s="88">
        <v>10022</v>
      </c>
      <c r="D17" s="3"/>
    </row>
    <row r="18" spans="1:6" s="38" customFormat="1" ht="13.5" hidden="1" customHeight="1" x14ac:dyDescent="0.2">
      <c r="A18" s="6" t="s">
        <v>26</v>
      </c>
      <c r="B18" s="180">
        <v>0</v>
      </c>
      <c r="C18" s="27">
        <v>0</v>
      </c>
      <c r="D18" s="37"/>
      <c r="E18" s="124"/>
    </row>
    <row r="19" spans="1:6" ht="13.5" customHeight="1" x14ac:dyDescent="0.2">
      <c r="A19" s="6" t="s">
        <v>25</v>
      </c>
      <c r="B19" s="180">
        <v>262</v>
      </c>
      <c r="C19" s="88">
        <v>8035</v>
      </c>
      <c r="D19" s="3"/>
    </row>
    <row r="20" spans="1:6" ht="13.5" customHeight="1" x14ac:dyDescent="0.2">
      <c r="A20" s="6" t="s">
        <v>27</v>
      </c>
      <c r="B20" s="181">
        <v>93763</v>
      </c>
      <c r="C20" s="90">
        <f>104723-64857</f>
        <v>39866</v>
      </c>
      <c r="D20" s="123"/>
    </row>
    <row r="21" spans="1:6" ht="13.5" customHeight="1" x14ac:dyDescent="0.2">
      <c r="A21" s="6" t="s">
        <v>28</v>
      </c>
      <c r="B21" s="182">
        <f>SUM(B11:B20)</f>
        <v>878622</v>
      </c>
      <c r="C21" s="88">
        <f>SUM(C11:C20)</f>
        <v>1138925</v>
      </c>
      <c r="D21" s="123"/>
    </row>
    <row r="22" spans="1:6" ht="13.5" customHeight="1" x14ac:dyDescent="0.2">
      <c r="A22" s="3"/>
      <c r="B22" s="183"/>
      <c r="C22" s="87"/>
      <c r="D22" s="3"/>
    </row>
    <row r="23" spans="1:6" ht="13.5" customHeight="1" x14ac:dyDescent="0.2">
      <c r="A23" s="5" t="s">
        <v>29</v>
      </c>
      <c r="B23" s="184">
        <v>1053603</v>
      </c>
      <c r="C23" s="88">
        <v>3619029</v>
      </c>
      <c r="D23" s="3"/>
      <c r="E23" s="128"/>
      <c r="F23" s="233"/>
    </row>
    <row r="24" spans="1:6" ht="13.5" customHeight="1" x14ac:dyDescent="0.2">
      <c r="A24" s="3"/>
      <c r="B24" s="183"/>
      <c r="C24" s="87"/>
      <c r="D24" s="3"/>
    </row>
    <row r="25" spans="1:6" ht="13.5" customHeight="1" x14ac:dyDescent="0.2">
      <c r="A25" s="5" t="s">
        <v>30</v>
      </c>
      <c r="B25" s="183"/>
      <c r="C25" s="87"/>
      <c r="D25" s="3"/>
    </row>
    <row r="26" spans="1:6" ht="13.5" customHeight="1" x14ac:dyDescent="0.2">
      <c r="A26" s="6" t="s">
        <v>24</v>
      </c>
      <c r="B26" s="180">
        <v>0</v>
      </c>
      <c r="C26" s="88">
        <v>23671</v>
      </c>
      <c r="D26" s="3"/>
    </row>
    <row r="27" spans="1:6" ht="13.5" customHeight="1" x14ac:dyDescent="0.2">
      <c r="A27" s="6" t="s">
        <v>31</v>
      </c>
      <c r="B27" s="180">
        <v>96074</v>
      </c>
      <c r="C27" s="88">
        <v>201877</v>
      </c>
      <c r="D27" s="3"/>
    </row>
    <row r="28" spans="1:6" ht="13.5" customHeight="1" x14ac:dyDescent="0.2">
      <c r="A28" s="6" t="s">
        <v>32</v>
      </c>
      <c r="B28" s="181">
        <f>190+11869+77639+18600</f>
        <v>108298</v>
      </c>
      <c r="C28" s="90">
        <v>58379</v>
      </c>
      <c r="D28" s="3"/>
    </row>
    <row r="29" spans="1:6" ht="13.5" customHeight="1" x14ac:dyDescent="0.2">
      <c r="A29" s="9" t="s">
        <v>33</v>
      </c>
      <c r="B29" s="185">
        <f>SUM(B26:B28)</f>
        <v>204372</v>
      </c>
      <c r="C29" s="90">
        <f>SUM(C26:C28)</f>
        <v>283927</v>
      </c>
      <c r="D29" s="3"/>
    </row>
    <row r="30" spans="1:6" ht="13.5" customHeight="1" thickBot="1" x14ac:dyDescent="0.25">
      <c r="A30" s="10" t="s">
        <v>34</v>
      </c>
      <c r="B30" s="186">
        <f>+B29+B23+B21</f>
        <v>2136597</v>
      </c>
      <c r="C30" s="91">
        <f>+C21+C23+C29</f>
        <v>5041881</v>
      </c>
      <c r="D30" s="3"/>
    </row>
    <row r="31" spans="1:6" ht="13.5" customHeight="1" thickTop="1" x14ac:dyDescent="0.2">
      <c r="A31" s="3"/>
      <c r="B31" s="183"/>
      <c r="C31" s="87"/>
      <c r="D31" s="3"/>
    </row>
    <row r="32" spans="1:6" ht="13.5" customHeight="1" x14ac:dyDescent="0.2">
      <c r="A32" s="5" t="s">
        <v>115</v>
      </c>
      <c r="B32" s="183"/>
      <c r="C32" s="87"/>
      <c r="D32" s="3"/>
    </row>
    <row r="33" spans="1:4" ht="13.5" customHeight="1" x14ac:dyDescent="0.2">
      <c r="A33" s="174" t="s">
        <v>114</v>
      </c>
      <c r="B33" s="183"/>
      <c r="C33" s="87"/>
      <c r="D33" s="3"/>
    </row>
    <row r="34" spans="1:4" ht="13.5" customHeight="1" x14ac:dyDescent="0.2">
      <c r="A34" s="6" t="s">
        <v>35</v>
      </c>
      <c r="B34" s="187">
        <v>95953</v>
      </c>
      <c r="C34" s="86">
        <v>128131</v>
      </c>
      <c r="D34" s="3"/>
    </row>
    <row r="35" spans="1:4" ht="13.5" customHeight="1" x14ac:dyDescent="0.2">
      <c r="A35" s="6" t="s">
        <v>36</v>
      </c>
      <c r="B35" s="180">
        <f>204425+15+800</f>
        <v>205240</v>
      </c>
      <c r="C35" s="88">
        <v>329450</v>
      </c>
      <c r="D35" s="3"/>
    </row>
    <row r="36" spans="1:4" ht="13.5" customHeight="1" x14ac:dyDescent="0.2">
      <c r="A36" s="6" t="s">
        <v>37</v>
      </c>
      <c r="B36" s="185">
        <v>11038</v>
      </c>
      <c r="C36" s="90">
        <f>5107210-64857</f>
        <v>5042353</v>
      </c>
      <c r="D36" s="3"/>
    </row>
    <row r="37" spans="1:4" ht="13.5" customHeight="1" x14ac:dyDescent="0.2">
      <c r="A37" s="9" t="s">
        <v>38</v>
      </c>
      <c r="B37" s="184">
        <f>SUM(B34:B36)</f>
        <v>312231</v>
      </c>
      <c r="C37" s="88">
        <f>SUM(C34:C36)</f>
        <v>5499934</v>
      </c>
      <c r="D37" s="3"/>
    </row>
    <row r="38" spans="1:4" ht="13.5" customHeight="1" x14ac:dyDescent="0.2">
      <c r="A38" s="6" t="s">
        <v>39</v>
      </c>
      <c r="B38" s="184">
        <v>351841</v>
      </c>
      <c r="C38" s="88">
        <v>30953</v>
      </c>
      <c r="D38" s="3"/>
    </row>
    <row r="39" spans="1:4" ht="13.5" customHeight="1" x14ac:dyDescent="0.2">
      <c r="A39" s="6" t="s">
        <v>40</v>
      </c>
      <c r="B39" s="180">
        <v>337227</v>
      </c>
      <c r="C39" s="88">
        <v>396659</v>
      </c>
      <c r="D39" s="3"/>
    </row>
    <row r="40" spans="1:4" ht="13.5" customHeight="1" x14ac:dyDescent="0.2">
      <c r="A40" s="6" t="s">
        <v>41</v>
      </c>
      <c r="B40" s="184">
        <v>38884</v>
      </c>
      <c r="C40" s="88">
        <v>27373</v>
      </c>
      <c r="D40" s="3"/>
    </row>
    <row r="41" spans="1:4" ht="13.5" customHeight="1" x14ac:dyDescent="0.2">
      <c r="A41" s="6" t="s">
        <v>42</v>
      </c>
      <c r="B41" s="184">
        <v>101445</v>
      </c>
      <c r="C41" s="88">
        <v>99810</v>
      </c>
      <c r="D41" s="3"/>
    </row>
    <row r="42" spans="1:4" ht="13.5" customHeight="1" x14ac:dyDescent="0.2">
      <c r="A42" s="6" t="s">
        <v>43</v>
      </c>
      <c r="B42" s="184">
        <f>165968+18600</f>
        <v>184568</v>
      </c>
      <c r="C42" s="88">
        <v>112270</v>
      </c>
      <c r="D42" s="3"/>
    </row>
    <row r="43" spans="1:4" ht="13.5" hidden="1" customHeight="1" x14ac:dyDescent="0.2">
      <c r="A43" s="6" t="s">
        <v>26</v>
      </c>
      <c r="B43" s="184">
        <v>0</v>
      </c>
      <c r="C43" s="88">
        <v>0</v>
      </c>
      <c r="D43" s="3"/>
    </row>
    <row r="44" spans="1:4" ht="13.5" customHeight="1" x14ac:dyDescent="0.2">
      <c r="A44" s="6" t="s">
        <v>44</v>
      </c>
      <c r="B44" s="181">
        <f>63807+21-4</f>
        <v>63824</v>
      </c>
      <c r="C44" s="90">
        <v>119171</v>
      </c>
      <c r="D44" s="3"/>
    </row>
    <row r="45" spans="1:4" ht="13.5" customHeight="1" x14ac:dyDescent="0.2">
      <c r="A45" s="9" t="s">
        <v>116</v>
      </c>
      <c r="B45" s="184">
        <f>SUM(B37:B44)</f>
        <v>1390020</v>
      </c>
      <c r="C45" s="88">
        <f>SUM(C37:C44)</f>
        <v>6286170</v>
      </c>
      <c r="D45" s="11"/>
    </row>
    <row r="46" spans="1:4" ht="13.5" customHeight="1" x14ac:dyDescent="0.2">
      <c r="A46" s="3"/>
      <c r="B46" s="183"/>
      <c r="C46" s="87"/>
      <c r="D46" s="3"/>
    </row>
    <row r="47" spans="1:4" ht="13.5" customHeight="1" x14ac:dyDescent="0.2">
      <c r="A47" s="5" t="s">
        <v>117</v>
      </c>
      <c r="B47" s="183"/>
      <c r="C47" s="87"/>
      <c r="D47" s="3"/>
    </row>
    <row r="48" spans="1:4" ht="13.5" customHeight="1" x14ac:dyDescent="0.2">
      <c r="A48" s="6" t="s">
        <v>45</v>
      </c>
      <c r="B48" s="184">
        <v>250</v>
      </c>
      <c r="C48" s="88">
        <v>2145</v>
      </c>
      <c r="D48" s="3"/>
    </row>
    <row r="49" spans="1:4" ht="13.5" customHeight="1" x14ac:dyDescent="0.2">
      <c r="A49" s="6" t="s">
        <v>46</v>
      </c>
      <c r="B49" s="184">
        <v>688424</v>
      </c>
      <c r="C49" s="88">
        <v>3054211</v>
      </c>
      <c r="D49" s="3"/>
    </row>
    <row r="50" spans="1:4" ht="13.5" customHeight="1" x14ac:dyDescent="0.2">
      <c r="A50" s="6" t="s">
        <v>47</v>
      </c>
      <c r="B50" s="184">
        <v>0</v>
      </c>
      <c r="C50" s="88">
        <v>-53863</v>
      </c>
      <c r="D50" s="3"/>
    </row>
    <row r="51" spans="1:4" ht="13.5" customHeight="1" x14ac:dyDescent="0.2">
      <c r="A51" s="6" t="s">
        <v>128</v>
      </c>
      <c r="B51" s="180">
        <f>'Statements of Operations'!B41</f>
        <v>33449</v>
      </c>
      <c r="C51" s="88">
        <v>-4244967</v>
      </c>
      <c r="D51" s="11"/>
    </row>
    <row r="52" spans="1:4" ht="13.5" customHeight="1" x14ac:dyDescent="0.2">
      <c r="A52" s="6" t="s">
        <v>129</v>
      </c>
      <c r="B52" s="185">
        <v>24454</v>
      </c>
      <c r="C52" s="90">
        <v>-1815</v>
      </c>
      <c r="D52" s="3"/>
    </row>
    <row r="53" spans="1:4" ht="13.5" customHeight="1" x14ac:dyDescent="0.2">
      <c r="A53" s="9" t="s">
        <v>130</v>
      </c>
      <c r="B53" s="188">
        <f>SUM(B48:B52)</f>
        <v>746577</v>
      </c>
      <c r="C53" s="92">
        <f>SUM(C48:C52)</f>
        <v>-1244289</v>
      </c>
      <c r="D53" s="3"/>
    </row>
    <row r="54" spans="1:4" ht="13.5" customHeight="1" thickBot="1" x14ac:dyDescent="0.25">
      <c r="A54" s="10" t="s">
        <v>131</v>
      </c>
      <c r="B54" s="186">
        <f>+B45+B53</f>
        <v>2136597</v>
      </c>
      <c r="C54" s="91">
        <f>+C45+C53</f>
        <v>5041881</v>
      </c>
      <c r="D54" s="3"/>
    </row>
    <row r="55" spans="1:4" ht="13.5" customHeight="1" thickTop="1" x14ac:dyDescent="0.2">
      <c r="A55" s="3"/>
      <c r="B55" s="3"/>
      <c r="C55" s="3"/>
      <c r="D55" s="3"/>
    </row>
    <row r="56" spans="1:4" ht="13.5" customHeight="1" x14ac:dyDescent="0.2">
      <c r="B56" s="47"/>
    </row>
    <row r="57" spans="1:4" ht="13.5" customHeight="1" x14ac:dyDescent="0.2">
      <c r="B57" s="140"/>
      <c r="C57" s="47"/>
    </row>
    <row r="59" spans="1:4" ht="13.5" customHeight="1" x14ac:dyDescent="0.2">
      <c r="B59" s="47"/>
    </row>
  </sheetData>
  <mergeCells count="3">
    <mergeCell ref="A1:C1"/>
    <mergeCell ref="A2:C2"/>
    <mergeCell ref="A3:C3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99"/>
  <sheetViews>
    <sheetView workbookViewId="0">
      <selection activeCell="A55" sqref="A55"/>
    </sheetView>
  </sheetViews>
  <sheetFormatPr defaultColWidth="21.5" defaultRowHeight="12.75" x14ac:dyDescent="0.2"/>
  <cols>
    <col min="1" max="1" width="75.6640625" style="24" customWidth="1"/>
    <col min="2" max="2" width="17.5" style="24" customWidth="1"/>
    <col min="3" max="3" width="17.5" style="153" customWidth="1"/>
    <col min="4" max="4" width="0.6640625" style="24" customWidth="1"/>
    <col min="5" max="5" width="17.5" style="153" customWidth="1"/>
    <col min="6" max="6" width="21.5" style="24" customWidth="1"/>
    <col min="7" max="16384" width="21.5" style="24"/>
  </cols>
  <sheetData>
    <row r="1" spans="1:25" ht="14.25" customHeight="1" x14ac:dyDescent="0.25">
      <c r="A1" s="296" t="s">
        <v>0</v>
      </c>
      <c r="B1" s="299"/>
      <c r="C1" s="299"/>
      <c r="D1" s="299"/>
      <c r="E1" s="29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4.25" customHeight="1" x14ac:dyDescent="0.25">
      <c r="A2" s="296" t="s">
        <v>75</v>
      </c>
      <c r="B2" s="299"/>
      <c r="C2" s="299"/>
      <c r="D2" s="299"/>
      <c r="E2" s="29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4.25" customHeight="1" x14ac:dyDescent="0.25">
      <c r="A3" s="296" t="s">
        <v>16</v>
      </c>
      <c r="B3" s="299"/>
      <c r="C3" s="299"/>
      <c r="D3" s="299"/>
      <c r="E3" s="29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6.75" customHeight="1" x14ac:dyDescent="0.2">
      <c r="A4" s="23"/>
      <c r="B4" s="22"/>
      <c r="C4" s="152"/>
      <c r="D4" s="22"/>
      <c r="E4" s="15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8.75" customHeight="1" x14ac:dyDescent="0.2">
      <c r="A5" s="22"/>
      <c r="B5" s="22"/>
      <c r="C5" s="152"/>
      <c r="D5" s="22"/>
      <c r="E5" s="15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3.5" customHeight="1" x14ac:dyDescent="0.2">
      <c r="A6" s="22"/>
      <c r="B6" s="171" t="s">
        <v>113</v>
      </c>
      <c r="C6" s="300" t="s">
        <v>110</v>
      </c>
      <c r="D6" s="300"/>
      <c r="E6" s="30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x14ac:dyDescent="0.2">
      <c r="A7" s="22"/>
      <c r="B7" s="205" t="s">
        <v>112</v>
      </c>
      <c r="C7" s="150" t="s">
        <v>111</v>
      </c>
      <c r="D7" s="4" t="s">
        <v>3</v>
      </c>
      <c r="E7" s="150" t="s">
        <v>107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3.5" customHeight="1" x14ac:dyDescent="0.2">
      <c r="A8" s="22"/>
      <c r="B8" s="173" t="s">
        <v>4</v>
      </c>
      <c r="C8" s="238" t="s">
        <v>4</v>
      </c>
      <c r="D8" s="15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3.5" customHeight="1" x14ac:dyDescent="0.2">
      <c r="A9" s="25" t="s">
        <v>74</v>
      </c>
      <c r="B9" s="159"/>
      <c r="C9" s="152"/>
      <c r="D9" s="22"/>
      <c r="E9" s="15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3.5" customHeight="1" x14ac:dyDescent="0.2">
      <c r="A10" s="21" t="s">
        <v>132</v>
      </c>
      <c r="B10" s="179">
        <f>'Statements of Operations'!B41</f>
        <v>33449</v>
      </c>
      <c r="C10" s="84">
        <f>'Statements of Operations'!C41</f>
        <v>1242081</v>
      </c>
      <c r="D10" s="22"/>
      <c r="E10" s="84">
        <f>'Statements of Operations'!E41</f>
        <v>-2913142</v>
      </c>
      <c r="F10" s="1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3.5" customHeight="1" x14ac:dyDescent="0.2">
      <c r="A11" s="21" t="s">
        <v>73</v>
      </c>
      <c r="B11" s="206"/>
      <c r="C11" s="151"/>
      <c r="D11" s="22"/>
      <c r="E11" s="15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3.5" customHeight="1" x14ac:dyDescent="0.2">
      <c r="A12" s="6" t="s">
        <v>8</v>
      </c>
      <c r="B12" s="180">
        <v>32604</v>
      </c>
      <c r="C12" s="27">
        <v>191581</v>
      </c>
      <c r="D12" s="22"/>
      <c r="E12" s="27">
        <v>379345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53" customFormat="1" ht="13.5" customHeight="1" x14ac:dyDescent="0.2">
      <c r="A13" s="6" t="s">
        <v>122</v>
      </c>
      <c r="B13" s="180">
        <v>7634</v>
      </c>
      <c r="C13" s="27">
        <v>24321</v>
      </c>
      <c r="D13" s="152"/>
      <c r="E13" s="27">
        <v>33680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ht="13.5" customHeight="1" x14ac:dyDescent="0.2">
      <c r="A14" s="6" t="s">
        <v>147</v>
      </c>
      <c r="B14" s="180">
        <v>796</v>
      </c>
      <c r="C14" s="27">
        <v>-728</v>
      </c>
      <c r="D14" s="22"/>
      <c r="E14" s="27">
        <v>-8811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3.5" customHeight="1" x14ac:dyDescent="0.2">
      <c r="A15" s="6" t="s">
        <v>72</v>
      </c>
      <c r="B15" s="180">
        <v>2587</v>
      </c>
      <c r="C15" s="27">
        <v>4791</v>
      </c>
      <c r="D15" s="11"/>
      <c r="E15" s="27">
        <v>8109</v>
      </c>
      <c r="F15" s="1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11" customFormat="1" ht="13.5" customHeight="1" x14ac:dyDescent="0.2">
      <c r="A16" s="6" t="s">
        <v>26</v>
      </c>
      <c r="B16" s="180">
        <v>3</v>
      </c>
      <c r="C16" s="27">
        <v>-419</v>
      </c>
      <c r="D16" s="11"/>
      <c r="E16" s="27">
        <v>-367210</v>
      </c>
      <c r="F16" s="11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3.5" customHeight="1" x14ac:dyDescent="0.2">
      <c r="A17" s="6" t="s">
        <v>71</v>
      </c>
      <c r="B17" s="180">
        <v>1032</v>
      </c>
      <c r="C17" s="27">
        <v>2099</v>
      </c>
      <c r="D17" s="22"/>
      <c r="E17" s="27">
        <v>5760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11" customFormat="1" ht="13.5" customHeight="1" x14ac:dyDescent="0.2">
      <c r="A18" s="6" t="s">
        <v>70</v>
      </c>
      <c r="B18" s="180">
        <v>-485</v>
      </c>
      <c r="C18" s="27">
        <v>-6628</v>
      </c>
      <c r="D18" s="110"/>
      <c r="E18" s="27">
        <v>-2270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s="55" customFormat="1" ht="13.5" customHeight="1" x14ac:dyDescent="0.2">
      <c r="A19" s="6" t="s">
        <v>96</v>
      </c>
      <c r="B19" s="180">
        <v>0</v>
      </c>
      <c r="C19" s="27">
        <v>119194</v>
      </c>
      <c r="D19" s="54"/>
      <c r="E19" s="27">
        <v>2613345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s="130" customFormat="1" ht="13.5" customHeight="1" x14ac:dyDescent="0.2">
      <c r="A20" s="6" t="s">
        <v>95</v>
      </c>
      <c r="B20" s="180">
        <v>0</v>
      </c>
      <c r="C20" s="27">
        <v>0</v>
      </c>
      <c r="D20" s="129"/>
      <c r="E20" s="27">
        <v>116343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</row>
    <row r="21" spans="1:25" s="126" customFormat="1" ht="13.5" customHeight="1" x14ac:dyDescent="0.2">
      <c r="A21" s="66" t="s">
        <v>97</v>
      </c>
      <c r="B21" s="180">
        <v>0</v>
      </c>
      <c r="C21" s="27">
        <v>2213</v>
      </c>
      <c r="D21" s="125"/>
      <c r="E21" s="27">
        <v>27910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1:25" s="104" customFormat="1" ht="13.5" customHeight="1" x14ac:dyDescent="0.2">
      <c r="A22" s="66" t="s">
        <v>102</v>
      </c>
      <c r="B22" s="180">
        <v>0</v>
      </c>
      <c r="C22" s="27">
        <f>-1221316-554594</f>
        <v>-1775910</v>
      </c>
      <c r="D22" s="103"/>
      <c r="E22" s="27">
        <v>0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3.5" customHeight="1" x14ac:dyDescent="0.2">
      <c r="A23" s="6" t="s">
        <v>69</v>
      </c>
      <c r="B23" s="180">
        <v>467</v>
      </c>
      <c r="C23" s="27">
        <v>12800</v>
      </c>
      <c r="D23" s="22"/>
      <c r="E23" s="27">
        <v>25241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11" customFormat="1" ht="13.5" hidden="1" customHeight="1" x14ac:dyDescent="0.2">
      <c r="A24" s="6" t="s">
        <v>97</v>
      </c>
      <c r="B24" s="180">
        <v>0</v>
      </c>
      <c r="C24" s="27">
        <v>0</v>
      </c>
      <c r="D24" s="110"/>
      <c r="E24" s="27">
        <v>0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3.5" customHeight="1" x14ac:dyDescent="0.2">
      <c r="A25" s="6" t="s">
        <v>68</v>
      </c>
      <c r="B25" s="206"/>
      <c r="C25" s="27"/>
      <c r="D25" s="22"/>
      <c r="E25" s="2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3.5" customHeight="1" x14ac:dyDescent="0.2">
      <c r="A26" s="9" t="s">
        <v>67</v>
      </c>
      <c r="B26" s="180">
        <v>-22196</v>
      </c>
      <c r="C26" s="27">
        <v>-42786</v>
      </c>
      <c r="D26" s="22"/>
      <c r="E26" s="27">
        <v>98212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3.5" customHeight="1" x14ac:dyDescent="0.2">
      <c r="A27" s="9" t="s">
        <v>23</v>
      </c>
      <c r="B27" s="180">
        <v>24870</v>
      </c>
      <c r="C27" s="27">
        <v>34440</v>
      </c>
      <c r="D27" s="22"/>
      <c r="E27" s="27">
        <v>-6534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153" customFormat="1" ht="13.5" customHeight="1" x14ac:dyDescent="0.2">
      <c r="A28" s="9" t="s">
        <v>119</v>
      </c>
      <c r="B28" s="180">
        <v>1662</v>
      </c>
      <c r="C28" s="27">
        <v>5678</v>
      </c>
      <c r="D28" s="152"/>
      <c r="E28" s="27">
        <v>973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13.5" customHeight="1" x14ac:dyDescent="0.2">
      <c r="A29" s="9" t="s">
        <v>66</v>
      </c>
      <c r="B29" s="180">
        <v>34129</v>
      </c>
      <c r="C29" s="27">
        <v>15316</v>
      </c>
      <c r="D29" s="22"/>
      <c r="E29" s="27">
        <v>-15532</v>
      </c>
      <c r="F29" s="11"/>
      <c r="G29" s="22"/>
      <c r="H29" s="1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s="113" customFormat="1" ht="13.5" customHeight="1" x14ac:dyDescent="0.2">
      <c r="A30" s="9" t="s">
        <v>40</v>
      </c>
      <c r="B30" s="180">
        <v>-4535</v>
      </c>
      <c r="C30" s="27">
        <f>12280-24321</f>
        <v>-12041</v>
      </c>
      <c r="D30" s="112"/>
      <c r="E30" s="27">
        <f>16640-33680</f>
        <v>-17040</v>
      </c>
      <c r="F30" s="11"/>
      <c r="G30" s="112"/>
      <c r="H30" s="11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25" s="153" customFormat="1" ht="13.5" customHeight="1" x14ac:dyDescent="0.2">
      <c r="A31" s="9" t="s">
        <v>118</v>
      </c>
      <c r="B31" s="180">
        <v>-5625</v>
      </c>
      <c r="C31" s="27">
        <v>-15692</v>
      </c>
      <c r="D31" s="227"/>
      <c r="E31" s="27">
        <v>4800</v>
      </c>
      <c r="F31" s="31"/>
      <c r="G31" s="227"/>
      <c r="H31" s="31"/>
      <c r="I31" s="227"/>
      <c r="J31" s="3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:25" ht="13.5" customHeight="1" x14ac:dyDescent="0.2">
      <c r="A32" s="34" t="s">
        <v>55</v>
      </c>
      <c r="B32" s="180">
        <f>383-5-1701+9076+1364+8-106-2874-33971+4+5625-3</f>
        <v>-22200</v>
      </c>
      <c r="C32" s="30">
        <f>-1011+1930-297-5313+8374-4195-22+3403-13158-33929+1+15692-3</f>
        <v>-28528</v>
      </c>
      <c r="D32" s="22"/>
      <c r="E32" s="30">
        <v>-27546</v>
      </c>
      <c r="F32" s="1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3.5" customHeight="1" x14ac:dyDescent="0.2">
      <c r="A33" s="29" t="s">
        <v>133</v>
      </c>
      <c r="B33" s="207">
        <f>SUM(B10:B32)</f>
        <v>84192</v>
      </c>
      <c r="C33" s="93">
        <f>SUM(C10:C32)</f>
        <v>-228218</v>
      </c>
      <c r="D33" s="26"/>
      <c r="E33" s="93">
        <f>SUM(E10:E32)</f>
        <v>-44367</v>
      </c>
      <c r="F33" s="7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3.5" customHeight="1" x14ac:dyDescent="0.2">
      <c r="A34" s="22"/>
      <c r="B34" s="208"/>
      <c r="C34" s="31"/>
      <c r="D34" s="22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3.5" customHeight="1" x14ac:dyDescent="0.2">
      <c r="A35" s="25" t="s">
        <v>65</v>
      </c>
      <c r="B35" s="206"/>
      <c r="C35" s="151"/>
      <c r="D35" s="22"/>
      <c r="E35" s="15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3.5" customHeight="1" x14ac:dyDescent="0.2">
      <c r="A36" s="6" t="s">
        <v>64</v>
      </c>
      <c r="B36" s="180">
        <v>-15214</v>
      </c>
      <c r="C36" s="27">
        <v>-82434</v>
      </c>
      <c r="D36" s="22"/>
      <c r="E36" s="27">
        <v>-119024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3.5" customHeight="1" x14ac:dyDescent="0.2">
      <c r="A37" s="6" t="s">
        <v>120</v>
      </c>
      <c r="B37" s="180">
        <v>-63</v>
      </c>
      <c r="C37" s="27">
        <v>-305</v>
      </c>
      <c r="D37" s="22"/>
      <c r="E37" s="27">
        <v>-5871</v>
      </c>
      <c r="F37" s="22"/>
      <c r="G37" s="1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3.5" customHeight="1" x14ac:dyDescent="0.2">
      <c r="A38" s="6" t="s">
        <v>103</v>
      </c>
      <c r="B38" s="180">
        <v>572</v>
      </c>
      <c r="C38" s="27">
        <v>-2921</v>
      </c>
      <c r="D38" s="32"/>
      <c r="E38" s="27">
        <v>2191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3.5" customHeight="1" x14ac:dyDescent="0.2">
      <c r="A39" s="6" t="s">
        <v>63</v>
      </c>
      <c r="B39" s="180">
        <v>0</v>
      </c>
      <c r="C39" s="27">
        <v>-98750</v>
      </c>
      <c r="D39" s="22"/>
      <c r="E39" s="27">
        <v>-246735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3.5" customHeight="1" x14ac:dyDescent="0.2">
      <c r="A40" s="6" t="s">
        <v>62</v>
      </c>
      <c r="B40" s="180">
        <v>23000</v>
      </c>
      <c r="C40" s="27">
        <v>185859</v>
      </c>
      <c r="D40" s="22"/>
      <c r="E40" s="27">
        <v>290205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s="153" customFormat="1" ht="13.5" customHeight="1" x14ac:dyDescent="0.2">
      <c r="A41" s="6" t="s">
        <v>121</v>
      </c>
      <c r="B41" s="180">
        <v>0</v>
      </c>
      <c r="C41" s="27">
        <v>1147</v>
      </c>
      <c r="D41" s="152"/>
      <c r="E41" s="27">
        <v>2259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25" ht="13.5" customHeight="1" x14ac:dyDescent="0.2">
      <c r="A42" s="6" t="s">
        <v>61</v>
      </c>
      <c r="B42" s="180">
        <v>-823</v>
      </c>
      <c r="C42" s="30">
        <v>-3441</v>
      </c>
      <c r="D42" s="26"/>
      <c r="E42" s="30">
        <v>-11502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113" customFormat="1" ht="13.5" customHeight="1" x14ac:dyDescent="0.2">
      <c r="A43" s="6" t="s">
        <v>98</v>
      </c>
      <c r="B43" s="181">
        <v>10512</v>
      </c>
      <c r="C43" s="89">
        <v>15979</v>
      </c>
      <c r="D43" s="26"/>
      <c r="E43" s="89">
        <v>-91864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3.5" customHeight="1" x14ac:dyDescent="0.2">
      <c r="A44" s="29" t="s">
        <v>106</v>
      </c>
      <c r="B44" s="180">
        <f>SUM(B36:B43)</f>
        <v>17984</v>
      </c>
      <c r="C44" s="30">
        <f>SUM(C36:C43)</f>
        <v>15134</v>
      </c>
      <c r="D44" s="26"/>
      <c r="E44" s="30">
        <f>SUM(E36:E43)</f>
        <v>-180341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3.5" customHeight="1" x14ac:dyDescent="0.2">
      <c r="A45" s="22"/>
      <c r="B45" s="206"/>
      <c r="C45" s="151"/>
      <c r="D45" s="22"/>
      <c r="E45" s="15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3.5" customHeight="1" x14ac:dyDescent="0.2">
      <c r="A46" s="25" t="s">
        <v>60</v>
      </c>
      <c r="B46" s="206"/>
      <c r="C46" s="151"/>
      <c r="D46" s="22"/>
      <c r="E46" s="15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3.5" customHeight="1" x14ac:dyDescent="0.2">
      <c r="A47" s="6" t="s">
        <v>59</v>
      </c>
      <c r="B47" s="180">
        <v>-816</v>
      </c>
      <c r="C47" s="27">
        <v>0</v>
      </c>
      <c r="D47" s="22"/>
      <c r="E47" s="27">
        <v>-19500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3.5" customHeight="1" x14ac:dyDescent="0.2">
      <c r="A48" s="6" t="s">
        <v>58</v>
      </c>
      <c r="B48" s="180">
        <v>3374</v>
      </c>
      <c r="C48" s="27">
        <v>-11986</v>
      </c>
      <c r="D48" s="22"/>
      <c r="E48" s="27">
        <v>-11332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153" customFormat="1" ht="13.5" customHeight="1" x14ac:dyDescent="0.2">
      <c r="A49" s="6" t="s">
        <v>57</v>
      </c>
      <c r="B49" s="180">
        <v>0</v>
      </c>
      <c r="C49" s="27">
        <v>-23011</v>
      </c>
      <c r="D49" s="152"/>
      <c r="E49" s="27">
        <v>0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</row>
    <row r="50" spans="1:25" s="98" customFormat="1" ht="13.5" customHeight="1" x14ac:dyDescent="0.2">
      <c r="A50" s="6" t="s">
        <v>91</v>
      </c>
      <c r="B50" s="180">
        <v>0</v>
      </c>
      <c r="C50" s="30">
        <v>-2213</v>
      </c>
      <c r="D50" s="97"/>
      <c r="E50" s="30">
        <v>-27910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ht="13.5" customHeight="1" x14ac:dyDescent="0.2">
      <c r="A51" s="6" t="s">
        <v>55</v>
      </c>
      <c r="B51" s="181">
        <v>151</v>
      </c>
      <c r="C51" s="89">
        <v>0</v>
      </c>
      <c r="D51" s="22"/>
      <c r="E51" s="89">
        <v>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3.5" hidden="1" customHeight="1" x14ac:dyDescent="0.2">
      <c r="A52" s="6" t="s">
        <v>56</v>
      </c>
      <c r="B52" s="180"/>
      <c r="C52" s="30">
        <v>0</v>
      </c>
      <c r="D52" s="26"/>
      <c r="E52" s="30"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s="36" customFormat="1" ht="13.5" hidden="1" customHeight="1" x14ac:dyDescent="0.2">
      <c r="A53" s="6" t="s">
        <v>94</v>
      </c>
      <c r="B53" s="180"/>
      <c r="C53" s="30">
        <v>0</v>
      </c>
      <c r="D53" s="26"/>
      <c r="E53" s="30">
        <v>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61" customFormat="1" ht="13.5" hidden="1" customHeight="1" x14ac:dyDescent="0.2">
      <c r="A54" s="6" t="s">
        <v>55</v>
      </c>
      <c r="B54" s="181"/>
      <c r="C54" s="89">
        <v>0</v>
      </c>
      <c r="D54" s="60"/>
      <c r="E54" s="89">
        <v>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3.5" customHeight="1" x14ac:dyDescent="0.2">
      <c r="A55" s="9" t="s">
        <v>184</v>
      </c>
      <c r="B55" s="181">
        <f>SUM(B47:B54)</f>
        <v>2709</v>
      </c>
      <c r="C55" s="89">
        <f>SUM(C47:C54)</f>
        <v>-37210</v>
      </c>
      <c r="D55" s="26"/>
      <c r="E55" s="89">
        <f>SUM(E47:E54)</f>
        <v>-58742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3.5" customHeight="1" x14ac:dyDescent="0.2">
      <c r="A56" s="22"/>
      <c r="B56" s="206"/>
      <c r="C56" s="151"/>
      <c r="D56" s="22"/>
      <c r="E56" s="15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3.5" customHeight="1" x14ac:dyDescent="0.2">
      <c r="A57" s="21" t="s">
        <v>134</v>
      </c>
      <c r="B57" s="180">
        <f>+B55+B44+B33</f>
        <v>104885</v>
      </c>
      <c r="C57" s="27">
        <f>+C55+C44+C33</f>
        <v>-250294</v>
      </c>
      <c r="D57" s="22"/>
      <c r="E57" s="27">
        <f>+E55+E44+E33</f>
        <v>-283450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3.5" customHeight="1" x14ac:dyDescent="0.2">
      <c r="A58" s="21" t="s">
        <v>54</v>
      </c>
      <c r="B58" s="181">
        <f>C60</f>
        <v>200487</v>
      </c>
      <c r="C58" s="89">
        <f>E60</f>
        <v>450781</v>
      </c>
      <c r="D58" s="22"/>
      <c r="E58" s="89">
        <v>734231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3.5" customHeight="1" x14ac:dyDescent="0.2">
      <c r="A59" s="22"/>
      <c r="B59" s="206"/>
      <c r="C59" s="151"/>
      <c r="D59" s="22"/>
      <c r="E59" s="15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3.5" customHeight="1" thickBot="1" x14ac:dyDescent="0.25">
      <c r="A60" s="21" t="s">
        <v>53</v>
      </c>
      <c r="B60" s="169">
        <f>+B57+B58</f>
        <v>305372</v>
      </c>
      <c r="C60" s="79">
        <f>+C57+C58</f>
        <v>200487</v>
      </c>
      <c r="D60" s="22"/>
      <c r="E60" s="79">
        <f>+E57+E58</f>
        <v>450781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8.75" customHeight="1" thickTop="1" x14ac:dyDescent="0.2">
      <c r="A61" s="22"/>
      <c r="B61" s="81"/>
      <c r="C61" s="152"/>
      <c r="D61" s="22"/>
      <c r="E61" s="15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8.75" customHeight="1" x14ac:dyDescent="0.2">
      <c r="A62" s="22"/>
      <c r="B62" s="81"/>
      <c r="C62" s="152"/>
      <c r="D62" s="22"/>
      <c r="E62" s="15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8.75" customHeight="1" x14ac:dyDescent="0.2">
      <c r="A63" s="22"/>
      <c r="B63" s="99"/>
      <c r="C63" s="152"/>
      <c r="D63" s="22"/>
      <c r="E63" s="15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8.75" customHeight="1" x14ac:dyDescent="0.2">
      <c r="A64" s="22"/>
      <c r="B64" s="99"/>
      <c r="C64" s="152"/>
      <c r="D64" s="22"/>
      <c r="E64" s="15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8.75" customHeight="1" x14ac:dyDescent="0.2">
      <c r="A65" s="22"/>
      <c r="B65" s="99"/>
      <c r="C65" s="99"/>
      <c r="D65" s="22"/>
      <c r="E65" s="15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8.75" customHeight="1" x14ac:dyDescent="0.2">
      <c r="A66" s="22"/>
      <c r="B66" s="99"/>
      <c r="C66" s="99"/>
      <c r="D66" s="22"/>
      <c r="E66" s="15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8.75" customHeight="1" x14ac:dyDescent="0.2">
      <c r="A67" s="22"/>
      <c r="B67" s="81"/>
      <c r="C67" s="151"/>
      <c r="D67" s="22"/>
      <c r="E67" s="15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8.75" customHeight="1" x14ac:dyDescent="0.2">
      <c r="A68" s="22"/>
      <c r="B68" s="81"/>
      <c r="C68" s="151"/>
      <c r="D68" s="22"/>
      <c r="E68" s="15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8.75" customHeight="1" x14ac:dyDescent="0.2">
      <c r="A69" s="22"/>
      <c r="B69" s="81"/>
      <c r="C69" s="151"/>
      <c r="D69" s="22"/>
      <c r="E69" s="15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8.75" customHeight="1" x14ac:dyDescent="0.2">
      <c r="A70" s="22"/>
      <c r="B70" s="81"/>
      <c r="C70" s="151"/>
      <c r="D70" s="22"/>
      <c r="E70" s="15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8.75" customHeight="1" x14ac:dyDescent="0.2">
      <c r="A71" s="22"/>
      <c r="B71" s="81"/>
      <c r="C71" s="151"/>
      <c r="D71" s="22"/>
      <c r="E71" s="15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8.75" customHeight="1" x14ac:dyDescent="0.2">
      <c r="A72" s="22"/>
      <c r="B72" s="81"/>
      <c r="C72" s="151"/>
      <c r="D72" s="22"/>
      <c r="E72" s="15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8.75" customHeight="1" x14ac:dyDescent="0.2">
      <c r="A73" s="22"/>
      <c r="B73" s="81"/>
      <c r="C73" s="151"/>
      <c r="D73" s="22"/>
      <c r="E73" s="15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8.75" customHeight="1" x14ac:dyDescent="0.2">
      <c r="A74" s="22"/>
      <c r="B74" s="81"/>
      <c r="C74" s="151"/>
      <c r="D74" s="22"/>
      <c r="E74" s="15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8.75" customHeight="1" x14ac:dyDescent="0.2">
      <c r="A75" s="22"/>
      <c r="B75" s="81"/>
      <c r="C75" s="151"/>
      <c r="D75" s="22"/>
      <c r="E75" s="15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8.75" customHeight="1" x14ac:dyDescent="0.2">
      <c r="A76" s="22"/>
      <c r="B76" s="81"/>
      <c r="C76" s="151"/>
      <c r="D76" s="22"/>
      <c r="E76" s="15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8.75" customHeight="1" x14ac:dyDescent="0.2">
      <c r="A77" s="22"/>
      <c r="B77" s="81"/>
      <c r="C77" s="151"/>
      <c r="D77" s="22"/>
      <c r="E77" s="15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8.75" customHeight="1" x14ac:dyDescent="0.2">
      <c r="A78" s="22"/>
      <c r="B78" s="81"/>
      <c r="C78" s="151"/>
      <c r="D78" s="22"/>
      <c r="E78" s="15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8.75" customHeight="1" x14ac:dyDescent="0.2">
      <c r="A79" s="22"/>
      <c r="B79" s="22"/>
      <c r="C79" s="152"/>
      <c r="D79" s="22"/>
      <c r="E79" s="15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8.75" customHeight="1" x14ac:dyDescent="0.2">
      <c r="A80" s="22"/>
      <c r="B80" s="22"/>
      <c r="C80" s="152"/>
      <c r="D80" s="22"/>
      <c r="E80" s="15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8.75" customHeight="1" x14ac:dyDescent="0.2">
      <c r="A81" s="22"/>
      <c r="B81" s="22"/>
      <c r="C81" s="152"/>
      <c r="D81" s="22"/>
      <c r="E81" s="15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8.75" customHeight="1" x14ac:dyDescent="0.2">
      <c r="A82" s="22"/>
      <c r="B82" s="22"/>
      <c r="C82" s="152"/>
      <c r="D82" s="22"/>
      <c r="E82" s="15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8.75" customHeight="1" x14ac:dyDescent="0.2">
      <c r="A83" s="22"/>
      <c r="B83" s="22"/>
      <c r="C83" s="152"/>
      <c r="D83" s="22"/>
      <c r="E83" s="15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8.75" customHeight="1" x14ac:dyDescent="0.2">
      <c r="A84" s="22"/>
      <c r="B84" s="22"/>
      <c r="C84" s="152"/>
      <c r="D84" s="22"/>
      <c r="E84" s="15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8.75" customHeight="1" x14ac:dyDescent="0.2">
      <c r="A85" s="22"/>
      <c r="B85" s="22"/>
      <c r="C85" s="152"/>
      <c r="D85" s="22"/>
      <c r="E85" s="15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8.75" customHeight="1" x14ac:dyDescent="0.2">
      <c r="A86" s="22"/>
      <c r="B86" s="22"/>
      <c r="C86" s="152"/>
      <c r="D86" s="22"/>
      <c r="E86" s="15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8.75" customHeight="1" x14ac:dyDescent="0.2">
      <c r="A87" s="22"/>
      <c r="B87" s="22"/>
      <c r="C87" s="152"/>
      <c r="D87" s="22"/>
      <c r="E87" s="15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8.75" customHeight="1" x14ac:dyDescent="0.2">
      <c r="A88" s="22"/>
      <c r="B88" s="22"/>
      <c r="C88" s="152"/>
      <c r="D88" s="22"/>
      <c r="E88" s="15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8.75" customHeight="1" x14ac:dyDescent="0.2">
      <c r="A89" s="22"/>
      <c r="B89" s="22"/>
      <c r="C89" s="152"/>
      <c r="D89" s="22"/>
      <c r="E89" s="15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8.75" customHeight="1" x14ac:dyDescent="0.2">
      <c r="A90" s="22"/>
      <c r="B90" s="22"/>
      <c r="C90" s="152"/>
      <c r="D90" s="22"/>
      <c r="E90" s="15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8.75" customHeight="1" x14ac:dyDescent="0.2">
      <c r="A91" s="22"/>
      <c r="B91" s="22"/>
      <c r="C91" s="152"/>
      <c r="D91" s="22"/>
      <c r="E91" s="15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8.75" customHeight="1" x14ac:dyDescent="0.2">
      <c r="A92" s="22"/>
      <c r="B92" s="22"/>
      <c r="C92" s="152"/>
      <c r="D92" s="22"/>
      <c r="E92" s="15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8.75" customHeight="1" x14ac:dyDescent="0.2">
      <c r="A93" s="22"/>
      <c r="B93" s="22"/>
      <c r="C93" s="152"/>
      <c r="D93" s="22"/>
      <c r="E93" s="15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8.75" customHeight="1" x14ac:dyDescent="0.2">
      <c r="A94" s="22"/>
      <c r="B94" s="22"/>
      <c r="C94" s="152"/>
      <c r="D94" s="22"/>
      <c r="E94" s="15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8.75" customHeight="1" x14ac:dyDescent="0.2">
      <c r="A95" s="22"/>
      <c r="B95" s="22"/>
      <c r="C95" s="152"/>
      <c r="D95" s="22"/>
      <c r="E95" s="15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8.75" customHeight="1" x14ac:dyDescent="0.2">
      <c r="A96" s="22"/>
      <c r="B96" s="22"/>
      <c r="C96" s="152"/>
      <c r="D96" s="22"/>
      <c r="E96" s="15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18.75" customHeight="1" x14ac:dyDescent="0.2">
      <c r="A97" s="22"/>
      <c r="B97" s="22"/>
      <c r="C97" s="152"/>
      <c r="D97" s="22"/>
      <c r="E97" s="15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ht="18.75" customHeight="1" x14ac:dyDescent="0.2">
      <c r="A98" s="22"/>
      <c r="B98" s="22"/>
      <c r="C98" s="152"/>
      <c r="D98" s="22"/>
      <c r="E98" s="15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18.75" customHeight="1" x14ac:dyDescent="0.2">
      <c r="A99" s="22"/>
      <c r="B99" s="22"/>
      <c r="C99" s="152"/>
      <c r="D99" s="22"/>
      <c r="E99" s="15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</sheetData>
  <mergeCells count="4">
    <mergeCell ref="A1:E1"/>
    <mergeCell ref="A2:E2"/>
    <mergeCell ref="A3:E3"/>
    <mergeCell ref="C6:E6"/>
  </mergeCell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F102"/>
  <sheetViews>
    <sheetView workbookViewId="0">
      <selection activeCell="A12" sqref="A12"/>
    </sheetView>
  </sheetViews>
  <sheetFormatPr defaultColWidth="21.5" defaultRowHeight="12.75" x14ac:dyDescent="0.2"/>
  <cols>
    <col min="1" max="1" width="73" style="40" customWidth="1"/>
    <col min="2" max="2" width="2.1640625" style="40" customWidth="1"/>
    <col min="3" max="4" width="15.83203125" style="40" customWidth="1"/>
    <col min="5" max="16384" width="21.5" style="40"/>
  </cols>
  <sheetData>
    <row r="1" spans="1:6" ht="13.5" customHeight="1" x14ac:dyDescent="0.25">
      <c r="A1" s="301" t="s">
        <v>0</v>
      </c>
      <c r="B1" s="302"/>
      <c r="C1" s="302"/>
      <c r="D1" s="302"/>
    </row>
    <row r="2" spans="1:6" ht="13.5" customHeight="1" x14ac:dyDescent="0.25">
      <c r="A2" s="301" t="s">
        <v>78</v>
      </c>
      <c r="B2" s="302"/>
      <c r="C2" s="302"/>
      <c r="D2" s="302"/>
    </row>
    <row r="3" spans="1:6" ht="13.5" customHeight="1" x14ac:dyDescent="0.25">
      <c r="A3" s="301" t="s">
        <v>16</v>
      </c>
      <c r="B3" s="302"/>
      <c r="C3" s="302"/>
      <c r="D3" s="302"/>
    </row>
    <row r="4" spans="1:6" ht="6" customHeight="1" x14ac:dyDescent="0.2"/>
    <row r="5" spans="1:6" s="153" customFormat="1" ht="18.75" customHeight="1" x14ac:dyDescent="0.2">
      <c r="C5" s="171" t="s">
        <v>113</v>
      </c>
      <c r="D5" s="150" t="s">
        <v>110</v>
      </c>
    </row>
    <row r="6" spans="1:6" ht="18.75" customHeight="1" x14ac:dyDescent="0.2">
      <c r="A6" s="43"/>
      <c r="B6" s="43"/>
      <c r="C6" s="178" t="s">
        <v>76</v>
      </c>
      <c r="D6" s="192" t="s">
        <v>79</v>
      </c>
    </row>
    <row r="7" spans="1:6" ht="12.75" customHeight="1" x14ac:dyDescent="0.2">
      <c r="A7" s="43"/>
      <c r="B7" s="43"/>
      <c r="C7" s="193">
        <v>2016</v>
      </c>
      <c r="D7" s="44">
        <v>2015</v>
      </c>
    </row>
    <row r="8" spans="1:6" ht="18.75" customHeight="1" x14ac:dyDescent="0.2">
      <c r="A8" s="43"/>
      <c r="B8" s="43"/>
      <c r="C8" s="201" t="s">
        <v>4</v>
      </c>
      <c r="D8" s="191"/>
    </row>
    <row r="9" spans="1:6" ht="18.75" customHeight="1" x14ac:dyDescent="0.2">
      <c r="A9" s="43"/>
      <c r="B9" s="43"/>
      <c r="C9" s="194"/>
      <c r="D9" s="48"/>
    </row>
    <row r="10" spans="1:6" s="153" customFormat="1" ht="18.75" customHeight="1" x14ac:dyDescent="0.2">
      <c r="A10" s="152" t="s">
        <v>142</v>
      </c>
      <c r="B10" s="154"/>
      <c r="C10" s="204">
        <v>325684</v>
      </c>
      <c r="D10" s="203">
        <v>0</v>
      </c>
      <c r="F10" s="62"/>
    </row>
    <row r="11" spans="1:6" ht="13.5" customHeight="1" x14ac:dyDescent="0.2">
      <c r="A11" s="287" t="s">
        <v>183</v>
      </c>
      <c r="B11" s="43"/>
      <c r="C11" s="235">
        <v>0</v>
      </c>
      <c r="D11" s="202">
        <v>1875429</v>
      </c>
    </row>
    <row r="12" spans="1:6" ht="13.5" customHeight="1" x14ac:dyDescent="0.2">
      <c r="A12" s="45" t="s">
        <v>80</v>
      </c>
      <c r="B12" s="43"/>
      <c r="C12" s="235">
        <v>0</v>
      </c>
      <c r="D12" s="50">
        <v>1000000</v>
      </c>
    </row>
    <row r="13" spans="1:6" ht="13.5" customHeight="1" x14ac:dyDescent="0.2">
      <c r="A13" s="45" t="s">
        <v>81</v>
      </c>
      <c r="B13" s="43"/>
      <c r="C13" s="235">
        <v>0</v>
      </c>
      <c r="D13" s="50">
        <v>365600</v>
      </c>
    </row>
    <row r="14" spans="1:6" ht="13.5" customHeight="1" x14ac:dyDescent="0.2">
      <c r="A14" s="45" t="s">
        <v>82</v>
      </c>
      <c r="B14" s="46"/>
      <c r="C14" s="235">
        <v>0</v>
      </c>
      <c r="D14" s="50">
        <v>350000</v>
      </c>
    </row>
    <row r="15" spans="1:6" ht="13.5" customHeight="1" x14ac:dyDescent="0.2">
      <c r="A15" s="45" t="s">
        <v>83</v>
      </c>
      <c r="B15" s="43"/>
      <c r="C15" s="235">
        <v>0</v>
      </c>
      <c r="D15" s="50">
        <v>500000</v>
      </c>
    </row>
    <row r="16" spans="1:6" ht="13.5" customHeight="1" x14ac:dyDescent="0.2">
      <c r="A16" s="45" t="s">
        <v>84</v>
      </c>
      <c r="B16" s="43"/>
      <c r="C16" s="235">
        <v>0</v>
      </c>
      <c r="D16" s="50">
        <v>1000000</v>
      </c>
    </row>
    <row r="17" spans="1:4" ht="13.5" customHeight="1" x14ac:dyDescent="0.2">
      <c r="A17" s="45" t="s">
        <v>55</v>
      </c>
      <c r="B17" s="43"/>
      <c r="C17" s="235">
        <v>37195</v>
      </c>
      <c r="D17" s="122">
        <v>47134</v>
      </c>
    </row>
    <row r="18" spans="1:4" s="117" customFormat="1" ht="13.5" customHeight="1" x14ac:dyDescent="0.2">
      <c r="A18" s="119" t="s">
        <v>100</v>
      </c>
      <c r="B18" s="118"/>
      <c r="C18" s="236">
        <v>0</v>
      </c>
      <c r="D18" s="52">
        <v>-64857</v>
      </c>
    </row>
    <row r="19" spans="1:4" ht="13.5" customHeight="1" x14ac:dyDescent="0.2">
      <c r="A19" s="43"/>
      <c r="B19" s="43"/>
      <c r="C19" s="196">
        <f>SUM(C10:C18)</f>
        <v>362879</v>
      </c>
      <c r="D19" s="50">
        <f>SUM(D10:D18)</f>
        <v>5073306</v>
      </c>
    </row>
    <row r="20" spans="1:4" ht="13.5" customHeight="1" x14ac:dyDescent="0.2">
      <c r="A20" s="303" t="s">
        <v>85</v>
      </c>
      <c r="B20" s="304"/>
      <c r="C20" s="196">
        <v>11038</v>
      </c>
      <c r="D20" s="50">
        <f>5107210-64857</f>
        <v>5042353</v>
      </c>
    </row>
    <row r="21" spans="1:4" ht="13.5" customHeight="1" thickBot="1" x14ac:dyDescent="0.25">
      <c r="A21" s="45" t="s">
        <v>39</v>
      </c>
      <c r="B21" s="43"/>
      <c r="C21" s="198">
        <f>C19-C20</f>
        <v>351841</v>
      </c>
      <c r="D21" s="53">
        <f>D19-D20</f>
        <v>30953</v>
      </c>
    </row>
    <row r="22" spans="1:4" ht="13.5" customHeight="1" thickTop="1" x14ac:dyDescent="0.2">
      <c r="A22" s="43"/>
      <c r="B22" s="43"/>
      <c r="C22" s="194"/>
      <c r="D22" s="133"/>
    </row>
    <row r="23" spans="1:4" ht="13.5" customHeight="1" x14ac:dyDescent="0.2">
      <c r="A23" s="45" t="s">
        <v>86</v>
      </c>
      <c r="C23" s="199"/>
      <c r="D23" s="51"/>
    </row>
    <row r="24" spans="1:4" ht="13.5" customHeight="1" x14ac:dyDescent="0.2">
      <c r="A24" s="119" t="s">
        <v>101</v>
      </c>
      <c r="C24" s="195">
        <f>C19-C18</f>
        <v>362879</v>
      </c>
      <c r="D24" s="49">
        <f>D19-D18</f>
        <v>5138163</v>
      </c>
    </row>
    <row r="25" spans="1:4" ht="13.5" customHeight="1" x14ac:dyDescent="0.2">
      <c r="A25" s="45" t="s">
        <v>87</v>
      </c>
      <c r="C25" s="200"/>
      <c r="D25" s="51"/>
    </row>
    <row r="26" spans="1:4" ht="13.5" customHeight="1" x14ac:dyDescent="0.2">
      <c r="A26" s="45" t="s">
        <v>19</v>
      </c>
      <c r="C26" s="196">
        <f>'Balance Sheet'!B11</f>
        <v>305372</v>
      </c>
      <c r="D26" s="50">
        <v>450781</v>
      </c>
    </row>
    <row r="27" spans="1:4" ht="13.5" customHeight="1" x14ac:dyDescent="0.2">
      <c r="A27" s="45" t="s">
        <v>20</v>
      </c>
      <c r="C27" s="197">
        <f>'Balance Sheet'!B12</f>
        <v>88072</v>
      </c>
      <c r="D27" s="52">
        <v>200192</v>
      </c>
    </row>
    <row r="28" spans="1:4" ht="13.5" customHeight="1" x14ac:dyDescent="0.2">
      <c r="A28" s="43"/>
      <c r="C28" s="196">
        <f>+C26+C27</f>
        <v>393444</v>
      </c>
      <c r="D28" s="50">
        <f>+D26+D27</f>
        <v>650973</v>
      </c>
    </row>
    <row r="29" spans="1:4" ht="13.5" customHeight="1" thickBot="1" x14ac:dyDescent="0.25">
      <c r="A29" s="45" t="s">
        <v>88</v>
      </c>
      <c r="C29" s="198">
        <f>+C24-C28</f>
        <v>-30565</v>
      </c>
      <c r="D29" s="53">
        <f>+D24-D28</f>
        <v>4487190</v>
      </c>
    </row>
    <row r="30" spans="1:4" ht="18.75" customHeight="1" thickTop="1" x14ac:dyDescent="0.2">
      <c r="C30" s="51"/>
      <c r="D30" s="51"/>
    </row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</sheetData>
  <mergeCells count="4">
    <mergeCell ref="A1:D1"/>
    <mergeCell ref="A2:D2"/>
    <mergeCell ref="A3:D3"/>
    <mergeCell ref="A20:B20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0"/>
  <sheetViews>
    <sheetView zoomScaleNormal="100" workbookViewId="0">
      <selection activeCell="B7" sqref="B7"/>
    </sheetView>
  </sheetViews>
  <sheetFormatPr defaultColWidth="21.5" defaultRowHeight="13.5" customHeight="1" x14ac:dyDescent="0.2"/>
  <cols>
    <col min="1" max="1" width="51.6640625" style="243" customWidth="1"/>
    <col min="2" max="2" width="14.33203125" style="243" customWidth="1"/>
    <col min="3" max="3" width="10.33203125" style="243" customWidth="1"/>
    <col min="4" max="4" width="14.33203125" style="243" customWidth="1"/>
    <col min="5" max="5" width="10.33203125" style="243" customWidth="1"/>
    <col min="6" max="6" width="2.5" style="243" customWidth="1"/>
    <col min="7" max="7" width="14.33203125" style="243" customWidth="1"/>
    <col min="8" max="8" width="10.33203125" style="243" customWidth="1"/>
    <col min="9" max="16384" width="21.5" style="243"/>
  </cols>
  <sheetData>
    <row r="1" spans="1:10" ht="13.5" customHeight="1" x14ac:dyDescent="0.25">
      <c r="A1" s="296" t="s">
        <v>0</v>
      </c>
      <c r="B1" s="296"/>
      <c r="C1" s="299"/>
      <c r="D1" s="310"/>
      <c r="E1" s="310"/>
      <c r="F1" s="310"/>
      <c r="G1" s="298"/>
      <c r="H1" s="298"/>
      <c r="I1" s="242"/>
    </row>
    <row r="2" spans="1:10" ht="13.5" customHeight="1" x14ac:dyDescent="0.25">
      <c r="A2" s="296" t="s">
        <v>162</v>
      </c>
      <c r="B2" s="296"/>
      <c r="C2" s="299"/>
      <c r="D2" s="310"/>
      <c r="E2" s="310"/>
      <c r="F2" s="310"/>
      <c r="G2" s="310"/>
      <c r="H2" s="299"/>
      <c r="I2" s="242"/>
    </row>
    <row r="3" spans="1:10" ht="13.5" customHeight="1" x14ac:dyDescent="0.25">
      <c r="A3" s="296" t="s">
        <v>163</v>
      </c>
      <c r="B3" s="296"/>
      <c r="C3" s="299"/>
      <c r="D3" s="310"/>
      <c r="E3" s="310"/>
      <c r="F3" s="310"/>
      <c r="G3" s="310"/>
      <c r="H3" s="299"/>
      <c r="I3" s="242"/>
    </row>
    <row r="4" spans="1:10" ht="6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</row>
    <row r="5" spans="1:10" ht="13.5" customHeight="1" x14ac:dyDescent="0.2">
      <c r="A5" s="242"/>
      <c r="B5" s="297" t="s">
        <v>113</v>
      </c>
      <c r="C5" s="308"/>
      <c r="D5" s="309" t="s">
        <v>110</v>
      </c>
      <c r="E5" s="297"/>
      <c r="F5" s="297"/>
      <c r="G5" s="297"/>
      <c r="H5" s="297"/>
      <c r="I5" s="242"/>
    </row>
    <row r="6" spans="1:10" ht="45" customHeight="1" x14ac:dyDescent="0.2">
      <c r="A6" s="242"/>
      <c r="B6" s="305" t="s">
        <v>112</v>
      </c>
      <c r="C6" s="306"/>
      <c r="D6" s="307" t="s">
        <v>111</v>
      </c>
      <c r="E6" s="305"/>
      <c r="F6" s="42" t="s">
        <v>3</v>
      </c>
      <c r="G6" s="305" t="s">
        <v>107</v>
      </c>
      <c r="H6" s="305"/>
      <c r="I6" s="242"/>
    </row>
    <row r="7" spans="1:10" ht="13.5" customHeight="1" x14ac:dyDescent="0.2">
      <c r="A7" s="242"/>
      <c r="B7" s="247" t="s">
        <v>4</v>
      </c>
      <c r="C7" s="173"/>
      <c r="D7" s="190" t="s">
        <v>4</v>
      </c>
      <c r="E7" s="238"/>
      <c r="F7" s="239"/>
      <c r="G7" s="247" t="s">
        <v>4</v>
      </c>
      <c r="H7" s="239"/>
      <c r="I7" s="234"/>
      <c r="J7" s="234"/>
    </row>
    <row r="8" spans="1:10" ht="13.5" customHeight="1" x14ac:dyDescent="0.2">
      <c r="A8" s="244" t="s">
        <v>164</v>
      </c>
      <c r="B8" s="248"/>
      <c r="C8" s="187"/>
      <c r="D8" s="86"/>
      <c r="E8" s="86"/>
      <c r="F8" s="85"/>
      <c r="G8" s="86"/>
      <c r="H8" s="86"/>
      <c r="I8" s="242"/>
    </row>
    <row r="9" spans="1:10" ht="13.5" customHeight="1" x14ac:dyDescent="0.2">
      <c r="A9" s="9" t="s">
        <v>165</v>
      </c>
      <c r="B9" s="249">
        <v>21.823810000000002</v>
      </c>
      <c r="C9" s="250"/>
      <c r="D9" s="251">
        <v>54.911459999999998</v>
      </c>
      <c r="E9" s="251"/>
      <c r="F9" s="252"/>
      <c r="G9" s="251">
        <v>108.48112999999999</v>
      </c>
      <c r="H9" s="88"/>
      <c r="I9" s="242"/>
    </row>
    <row r="10" spans="1:10" ht="7.5" customHeight="1" x14ac:dyDescent="0.2">
      <c r="A10" s="9"/>
      <c r="B10" s="134"/>
      <c r="C10" s="184"/>
      <c r="D10" s="88"/>
      <c r="E10" s="88"/>
      <c r="F10" s="88"/>
      <c r="G10" s="88"/>
      <c r="H10" s="88"/>
      <c r="I10" s="242"/>
    </row>
    <row r="11" spans="1:10" ht="13.5" customHeight="1" x14ac:dyDescent="0.2">
      <c r="A11" s="9" t="s">
        <v>166</v>
      </c>
      <c r="B11" s="253">
        <v>270.87740000000002</v>
      </c>
      <c r="C11" s="254">
        <f>ROUND(B11/B9,2)</f>
        <v>12.41</v>
      </c>
      <c r="D11" s="255">
        <v>714.18767000000003</v>
      </c>
      <c r="E11" s="256">
        <f>ROUND(D11/D9,2)</f>
        <v>13.01</v>
      </c>
      <c r="F11" s="87"/>
      <c r="G11" s="255">
        <v>1426.3029899999999</v>
      </c>
      <c r="H11" s="256">
        <f>ROUND(G11/G9,2)</f>
        <v>13.15</v>
      </c>
      <c r="I11" s="242"/>
    </row>
    <row r="12" spans="1:10" ht="13.5" customHeight="1" x14ac:dyDescent="0.2">
      <c r="A12" s="9" t="s">
        <v>167</v>
      </c>
      <c r="B12" s="257">
        <v>215.52645999999999</v>
      </c>
      <c r="C12" s="219">
        <f>ROUND(B12/B9,2)</f>
        <v>9.8800000000000008</v>
      </c>
      <c r="D12" s="257">
        <v>601.53846999999996</v>
      </c>
      <c r="E12" s="258">
        <f>ROUND(D12/D9,2)</f>
        <v>10.95</v>
      </c>
      <c r="F12" s="87"/>
      <c r="G12" s="257">
        <v>1143.4494999999999</v>
      </c>
      <c r="H12" s="258">
        <f>ROUND(G12/G9,2)</f>
        <v>10.54</v>
      </c>
      <c r="I12" s="242"/>
    </row>
    <row r="13" spans="1:10" ht="13.5" customHeight="1" x14ac:dyDescent="0.2">
      <c r="A13" s="9" t="s">
        <v>168</v>
      </c>
      <c r="B13" s="249">
        <f>B11-B12</f>
        <v>55.350940000000037</v>
      </c>
      <c r="C13" s="218">
        <f>C11-C12</f>
        <v>2.5299999999999994</v>
      </c>
      <c r="D13" s="249">
        <f>D11-D12</f>
        <v>112.64920000000006</v>
      </c>
      <c r="E13" s="259">
        <f>E11-E12</f>
        <v>2.0600000000000005</v>
      </c>
      <c r="F13" s="87"/>
      <c r="G13" s="249">
        <f>G11-G12</f>
        <v>282.85348999999997</v>
      </c>
      <c r="H13" s="259">
        <f>H11-H12</f>
        <v>2.6100000000000012</v>
      </c>
      <c r="I13" s="242"/>
    </row>
    <row r="14" spans="1:10" ht="13.5" customHeight="1" x14ac:dyDescent="0.2">
      <c r="A14" s="9"/>
      <c r="B14" s="134"/>
      <c r="C14" s="184"/>
      <c r="D14" s="134"/>
      <c r="E14" s="134"/>
      <c r="F14" s="87"/>
      <c r="G14" s="134"/>
      <c r="H14" s="134"/>
      <c r="I14" s="242"/>
    </row>
    <row r="15" spans="1:10" ht="13.5" customHeight="1" x14ac:dyDescent="0.2">
      <c r="A15" s="244" t="s">
        <v>169</v>
      </c>
      <c r="B15" s="248"/>
      <c r="C15" s="187"/>
      <c r="D15" s="86"/>
      <c r="E15" s="86"/>
      <c r="F15" s="85"/>
      <c r="G15" s="86"/>
      <c r="H15" s="86"/>
      <c r="I15" s="242"/>
    </row>
    <row r="16" spans="1:10" ht="13.5" customHeight="1" x14ac:dyDescent="0.2">
      <c r="A16" s="9" t="s">
        <v>165</v>
      </c>
      <c r="B16" s="249">
        <v>2.4418600000000001</v>
      </c>
      <c r="C16" s="184"/>
      <c r="D16" s="251">
        <v>6.6919599999999999</v>
      </c>
      <c r="E16" s="88"/>
      <c r="F16" s="87"/>
      <c r="G16" s="251">
        <v>8.3517700000000001</v>
      </c>
      <c r="H16" s="88"/>
      <c r="I16" s="242"/>
    </row>
    <row r="17" spans="1:9" ht="7.5" customHeight="1" x14ac:dyDescent="0.2">
      <c r="A17" s="9"/>
      <c r="B17" s="134"/>
      <c r="C17" s="184"/>
      <c r="D17" s="88"/>
      <c r="E17" s="88"/>
      <c r="F17" s="88"/>
      <c r="G17" s="88"/>
      <c r="H17" s="88"/>
      <c r="I17" s="242"/>
    </row>
    <row r="18" spans="1:9" ht="13.5" customHeight="1" x14ac:dyDescent="0.2">
      <c r="A18" s="9" t="s">
        <v>166</v>
      </c>
      <c r="B18" s="253">
        <v>160.20696000000001</v>
      </c>
      <c r="C18" s="254">
        <f>ROUND(B18/B16,2)</f>
        <v>65.61</v>
      </c>
      <c r="D18" s="255">
        <v>355.67948000000001</v>
      </c>
      <c r="E18" s="256">
        <f>ROUND(D18/D16,2)</f>
        <v>53.15</v>
      </c>
      <c r="F18" s="87"/>
      <c r="G18" s="255">
        <v>556.38734999999997</v>
      </c>
      <c r="H18" s="256">
        <f>ROUND(G18/G16,2)</f>
        <v>66.62</v>
      </c>
      <c r="I18" s="242"/>
    </row>
    <row r="19" spans="1:9" ht="13.5" customHeight="1" x14ac:dyDescent="0.2">
      <c r="A19" s="9" t="s">
        <v>167</v>
      </c>
      <c r="B19" s="257">
        <v>129.36150000000001</v>
      </c>
      <c r="C19" s="219">
        <f>ROUND(B19/B16,2)</f>
        <v>52.98</v>
      </c>
      <c r="D19" s="257">
        <v>343.95589000000001</v>
      </c>
      <c r="E19" s="258">
        <f>ROUND(D19/D16,2)</f>
        <v>51.4</v>
      </c>
      <c r="F19" s="87"/>
      <c r="G19" s="257">
        <v>487.41843</v>
      </c>
      <c r="H19" s="258">
        <f>ROUND(G19/G16,2)</f>
        <v>58.36</v>
      </c>
      <c r="I19" s="242"/>
    </row>
    <row r="20" spans="1:9" ht="13.5" customHeight="1" x14ac:dyDescent="0.2">
      <c r="A20" s="9" t="s">
        <v>168</v>
      </c>
      <c r="B20" s="249">
        <f>B18-B19</f>
        <v>30.845460000000003</v>
      </c>
      <c r="C20" s="218">
        <f>C18-C19</f>
        <v>12.630000000000003</v>
      </c>
      <c r="D20" s="249">
        <f>D18-D19</f>
        <v>11.723590000000002</v>
      </c>
      <c r="E20" s="259">
        <f>E18-E19</f>
        <v>1.75</v>
      </c>
      <c r="F20" s="87"/>
      <c r="G20" s="249">
        <f>G18-G19</f>
        <v>68.968919999999969</v>
      </c>
      <c r="H20" s="259">
        <f>H18-H19</f>
        <v>8.2600000000000051</v>
      </c>
      <c r="I20" s="242"/>
    </row>
    <row r="21" spans="1:9" ht="13.5" customHeight="1" x14ac:dyDescent="0.2">
      <c r="A21" s="244"/>
      <c r="B21" s="248"/>
      <c r="C21" s="187"/>
      <c r="D21" s="248"/>
      <c r="E21" s="248"/>
      <c r="F21" s="85"/>
      <c r="G21" s="248"/>
      <c r="H21" s="248"/>
      <c r="I21" s="11"/>
    </row>
    <row r="22" spans="1:9" ht="13.5" customHeight="1" x14ac:dyDescent="0.2">
      <c r="A22" s="244" t="s">
        <v>170</v>
      </c>
      <c r="B22" s="248"/>
      <c r="C22" s="187"/>
      <c r="D22" s="86"/>
      <c r="E22" s="86"/>
      <c r="F22" s="85"/>
      <c r="G22" s="86"/>
      <c r="H22" s="86"/>
      <c r="I22" s="242"/>
    </row>
    <row r="23" spans="1:9" ht="13.5" customHeight="1" x14ac:dyDescent="0.2">
      <c r="A23" s="9" t="s">
        <v>165</v>
      </c>
      <c r="B23" s="249">
        <v>2.5096799999999999</v>
      </c>
      <c r="C23" s="184"/>
      <c r="D23" s="251">
        <v>5.1807499999999997</v>
      </c>
      <c r="E23" s="88"/>
      <c r="F23" s="87"/>
      <c r="G23" s="251">
        <v>9.7640399999999996</v>
      </c>
      <c r="H23" s="88"/>
      <c r="I23" s="242"/>
    </row>
    <row r="24" spans="1:9" ht="7.5" customHeight="1" x14ac:dyDescent="0.2">
      <c r="A24" s="9"/>
      <c r="B24" s="134"/>
      <c r="C24" s="184"/>
      <c r="D24" s="88"/>
      <c r="E24" s="88"/>
      <c r="F24" s="88"/>
      <c r="G24" s="88"/>
      <c r="H24" s="88"/>
      <c r="I24" s="242"/>
    </row>
    <row r="25" spans="1:9" ht="13.5" customHeight="1" x14ac:dyDescent="0.2">
      <c r="A25" s="9" t="s">
        <v>166</v>
      </c>
      <c r="B25" s="253">
        <v>85.363969999999995</v>
      </c>
      <c r="C25" s="254">
        <f>ROUND(B25/B23,2)</f>
        <v>34.01</v>
      </c>
      <c r="D25" s="255">
        <v>187.35153</v>
      </c>
      <c r="E25" s="256">
        <f>ROUND(D25/D23,2)</f>
        <v>36.159999999999997</v>
      </c>
      <c r="F25" s="87"/>
      <c r="G25" s="255">
        <v>364.44216</v>
      </c>
      <c r="H25" s="256">
        <f>ROUND(G25/G23,2)</f>
        <v>37.32</v>
      </c>
      <c r="I25" s="242"/>
    </row>
    <row r="26" spans="1:9" ht="13.5" customHeight="1" x14ac:dyDescent="0.2">
      <c r="A26" s="9" t="s">
        <v>167</v>
      </c>
      <c r="B26" s="257">
        <v>54.692039999999999</v>
      </c>
      <c r="C26" s="219">
        <f>ROUND(B26/B23,2)</f>
        <v>21.79</v>
      </c>
      <c r="D26" s="257">
        <v>156.88213999999999</v>
      </c>
      <c r="E26" s="258">
        <f>ROUND(D26/D23,2)</f>
        <v>30.28</v>
      </c>
      <c r="F26" s="87"/>
      <c r="G26" s="257">
        <v>273.47255999999999</v>
      </c>
      <c r="H26" s="258">
        <f>ROUND(G26/G23,2)</f>
        <v>28.01</v>
      </c>
      <c r="I26" s="242"/>
    </row>
    <row r="27" spans="1:9" ht="13.5" customHeight="1" x14ac:dyDescent="0.2">
      <c r="A27" s="9" t="s">
        <v>168</v>
      </c>
      <c r="B27" s="249">
        <f>B25-B26</f>
        <v>30.671929999999996</v>
      </c>
      <c r="C27" s="218">
        <f>C25-C26</f>
        <v>12.219999999999999</v>
      </c>
      <c r="D27" s="249">
        <f>D25-D26</f>
        <v>30.469390000000004</v>
      </c>
      <c r="E27" s="259">
        <f>E25-E26</f>
        <v>5.8799999999999955</v>
      </c>
      <c r="F27" s="87"/>
      <c r="G27" s="249">
        <f>G25-G26</f>
        <v>90.969600000000014</v>
      </c>
      <c r="H27" s="259">
        <f>H25-H26</f>
        <v>9.3099999999999987</v>
      </c>
      <c r="I27" s="242"/>
    </row>
    <row r="28" spans="1:9" ht="13.5" customHeight="1" x14ac:dyDescent="0.2">
      <c r="A28" s="244"/>
      <c r="B28" s="248"/>
      <c r="C28" s="187"/>
      <c r="D28" s="248"/>
      <c r="E28" s="248"/>
      <c r="F28" s="85"/>
      <c r="G28" s="248"/>
      <c r="H28" s="248"/>
      <c r="I28" s="11"/>
    </row>
    <row r="29" spans="1:9" ht="13.5" customHeight="1" x14ac:dyDescent="0.2">
      <c r="A29" s="244" t="s">
        <v>171</v>
      </c>
      <c r="B29" s="253">
        <f>B13+B20+B27</f>
        <v>116.86833000000004</v>
      </c>
      <c r="C29" s="187"/>
      <c r="D29" s="253">
        <f>D13+D20+D27</f>
        <v>154.84218000000007</v>
      </c>
      <c r="E29" s="248"/>
      <c r="F29" s="85"/>
      <c r="G29" s="253">
        <f>G13+G20+G27</f>
        <v>442.79200999999995</v>
      </c>
      <c r="H29" s="248"/>
      <c r="I29" s="11"/>
    </row>
    <row r="30" spans="1:9" ht="4.5" customHeight="1" x14ac:dyDescent="0.2">
      <c r="A30" s="244"/>
      <c r="B30" s="248"/>
      <c r="C30" s="187"/>
      <c r="D30" s="248"/>
      <c r="E30" s="248"/>
      <c r="F30" s="85"/>
      <c r="G30" s="248"/>
      <c r="H30" s="248"/>
      <c r="I30" s="11"/>
    </row>
    <row r="31" spans="1:9" ht="13.5" customHeight="1" x14ac:dyDescent="0.2">
      <c r="A31" s="244" t="str">
        <f>'[1]Statements of Operations'!A20</f>
        <v>Selling, general and administrative expenses</v>
      </c>
      <c r="B31" s="249">
        <f>-'[1]Statements of Operations'!B20/1000</f>
        <v>-22.835999999999999</v>
      </c>
      <c r="C31" s="187"/>
      <c r="D31" s="249">
        <f>-'[1]Statements of Operations'!C20/1000</f>
        <v>-59.343000000000004</v>
      </c>
      <c r="E31" s="134"/>
      <c r="F31" s="87"/>
      <c r="G31" s="249">
        <f>-'[1]Statements of Operations'!E20/1000</f>
        <v>-98.783000000000001</v>
      </c>
      <c r="H31" s="248"/>
      <c r="I31" s="11"/>
    </row>
    <row r="32" spans="1:9" ht="13.5" customHeight="1" x14ac:dyDescent="0.2">
      <c r="A32" s="244" t="s">
        <v>172</v>
      </c>
      <c r="B32" s="249">
        <v>0</v>
      </c>
      <c r="C32" s="187"/>
      <c r="D32" s="249">
        <v>-1.6285000000000001</v>
      </c>
      <c r="E32" s="134"/>
      <c r="F32" s="87"/>
      <c r="G32" s="249">
        <v>-52.937440000000002</v>
      </c>
      <c r="H32" s="248"/>
      <c r="I32" s="11"/>
    </row>
    <row r="33" spans="1:9" ht="13.5" customHeight="1" x14ac:dyDescent="0.2">
      <c r="A33" s="244" t="s">
        <v>55</v>
      </c>
      <c r="B33" s="257">
        <f>B35-SUM(B29:B32)</f>
        <v>0.46466999999995551</v>
      </c>
      <c r="C33" s="187"/>
      <c r="D33" s="257">
        <f>D35-SUM(D29:D32)</f>
        <v>-6.5676800000000668</v>
      </c>
      <c r="E33" s="248"/>
      <c r="F33" s="85"/>
      <c r="G33" s="257">
        <f>G35-SUM(G29:G32)</f>
        <v>-7.274569999999926</v>
      </c>
      <c r="H33" s="248"/>
      <c r="I33" s="11"/>
    </row>
    <row r="34" spans="1:9" ht="4.5" customHeight="1" x14ac:dyDescent="0.2">
      <c r="A34" s="244"/>
      <c r="B34" s="248"/>
      <c r="C34" s="187"/>
      <c r="D34" s="248"/>
      <c r="E34" s="248"/>
      <c r="F34" s="85"/>
      <c r="G34" s="248"/>
      <c r="H34" s="248"/>
      <c r="I34" s="11"/>
    </row>
    <row r="35" spans="1:9" ht="13.5" customHeight="1" thickBot="1" x14ac:dyDescent="0.25">
      <c r="A35" s="244" t="s">
        <v>104</v>
      </c>
      <c r="B35" s="260">
        <f>'[1]Reconciliation page'!B39/1000</f>
        <v>94.497</v>
      </c>
      <c r="C35" s="187"/>
      <c r="D35" s="260">
        <f>'[1]Reconciliation page'!C39/1000</f>
        <v>87.302999999999997</v>
      </c>
      <c r="E35" s="248"/>
      <c r="F35" s="85"/>
      <c r="G35" s="260">
        <f>'[1]Reconciliation page'!E39/1000</f>
        <v>283.79700000000003</v>
      </c>
      <c r="H35" s="248"/>
      <c r="I35" s="11"/>
    </row>
    <row r="36" spans="1:9" ht="13.5" customHeight="1" thickTop="1" x14ac:dyDescent="0.2">
      <c r="A36" s="244"/>
      <c r="B36"/>
      <c r="C36" s="248"/>
      <c r="D36" s="248"/>
      <c r="E36" s="248"/>
      <c r="F36" s="85"/>
      <c r="G36" s="248"/>
      <c r="H36" s="248"/>
      <c r="I36" s="11"/>
    </row>
    <row r="37" spans="1:9" ht="13.5" customHeight="1" x14ac:dyDescent="0.2">
      <c r="A37" s="244"/>
      <c r="B37" s="248"/>
      <c r="C37" s="248"/>
      <c r="D37" s="248"/>
      <c r="E37" s="248"/>
      <c r="F37" s="85"/>
      <c r="G37" s="248"/>
      <c r="H37" s="248"/>
      <c r="I37" s="11"/>
    </row>
    <row r="38" spans="1:9" ht="13.5" customHeight="1" x14ac:dyDescent="0.2">
      <c r="A38" s="245" t="s">
        <v>48</v>
      </c>
      <c r="B38" s="297" t="s">
        <v>113</v>
      </c>
      <c r="C38" s="308"/>
      <c r="D38" s="309" t="s">
        <v>110</v>
      </c>
      <c r="E38" s="297"/>
      <c r="F38" s="297"/>
      <c r="G38" s="297"/>
      <c r="H38" s="297"/>
      <c r="I38" s="11"/>
    </row>
    <row r="39" spans="1:9" ht="12.75" x14ac:dyDescent="0.2">
      <c r="A39" s="244"/>
      <c r="B39" s="305" t="s">
        <v>112</v>
      </c>
      <c r="C39" s="306"/>
      <c r="D39" s="307" t="s">
        <v>111</v>
      </c>
      <c r="E39" s="305"/>
      <c r="F39" s="42" t="s">
        <v>3</v>
      </c>
      <c r="G39" s="305" t="s">
        <v>107</v>
      </c>
      <c r="H39" s="305"/>
      <c r="I39" s="11"/>
    </row>
    <row r="40" spans="1:9" s="286" customFormat="1" ht="12.75" x14ac:dyDescent="0.2">
      <c r="A40" s="287"/>
      <c r="B40" s="247" t="s">
        <v>4</v>
      </c>
      <c r="C40" s="173"/>
      <c r="D40" s="190" t="s">
        <v>4</v>
      </c>
      <c r="E40" s="238"/>
      <c r="F40" s="239"/>
      <c r="G40" s="247" t="s">
        <v>4</v>
      </c>
      <c r="H40" s="276"/>
      <c r="I40" s="11"/>
    </row>
    <row r="41" spans="1:9" s="286" customFormat="1" ht="12.75" x14ac:dyDescent="0.2">
      <c r="A41" s="287"/>
      <c r="B41" s="238"/>
      <c r="C41" s="189"/>
      <c r="D41" s="238"/>
      <c r="E41" s="238"/>
      <c r="F41" s="239"/>
      <c r="G41" s="238"/>
      <c r="H41" s="276"/>
      <c r="I41" s="11"/>
    </row>
    <row r="42" spans="1:9" ht="13.5" customHeight="1" x14ac:dyDescent="0.2">
      <c r="A42" s="244" t="s">
        <v>173</v>
      </c>
      <c r="B42" s="253">
        <f>B11+B18+B25</f>
        <v>516.44833000000006</v>
      </c>
      <c r="C42" s="187"/>
      <c r="D42" s="253">
        <f>D11+D18+D25</f>
        <v>1257.2186799999999</v>
      </c>
      <c r="E42" s="248"/>
      <c r="F42" s="85"/>
      <c r="G42" s="253">
        <f>G11+G18+G25</f>
        <v>2347.1324999999997</v>
      </c>
      <c r="H42" s="248"/>
      <c r="I42" s="11"/>
    </row>
    <row r="43" spans="1:9" ht="13.5" customHeight="1" x14ac:dyDescent="0.2">
      <c r="A43" s="244" t="s">
        <v>77</v>
      </c>
      <c r="B43" s="249">
        <f>-'[1]Reconciliation page'!B86/1000</f>
        <v>57.170999999999999</v>
      </c>
      <c r="C43" s="187"/>
      <c r="D43" s="249">
        <f>-'[1]Reconciliation page'!C86/1000</f>
        <v>121.67400000000001</v>
      </c>
      <c r="E43" s="248"/>
      <c r="F43" s="85"/>
      <c r="G43" s="249">
        <f>-'[1]Reconciliation page'!E86/1000</f>
        <v>181.233</v>
      </c>
      <c r="H43" s="248"/>
      <c r="I43" s="11"/>
    </row>
    <row r="44" spans="1:9" ht="13.5" customHeight="1" x14ac:dyDescent="0.2">
      <c r="A44" s="242" t="s">
        <v>174</v>
      </c>
      <c r="B44" s="261">
        <v>-0.1118</v>
      </c>
      <c r="C44" s="159"/>
      <c r="D44" s="252">
        <v>0.44764999999999999</v>
      </c>
      <c r="E44" s="241"/>
      <c r="F44" s="241"/>
      <c r="G44" s="262">
        <v>-3.2315</v>
      </c>
      <c r="H44" s="144"/>
      <c r="I44" s="242"/>
    </row>
    <row r="45" spans="1:9" ht="13.5" customHeight="1" x14ac:dyDescent="0.2">
      <c r="A45" s="242" t="s">
        <v>175</v>
      </c>
      <c r="B45" s="263">
        <v>2.1807300000000001</v>
      </c>
      <c r="C45" s="159"/>
      <c r="D45" s="264">
        <v>19.36863</v>
      </c>
      <c r="E45" s="241"/>
      <c r="F45" s="241"/>
      <c r="G45" s="265">
        <v>48.125979999999998</v>
      </c>
      <c r="H45" s="144"/>
      <c r="I45" s="242"/>
    </row>
    <row r="46" spans="1:9" ht="13.5" customHeight="1" x14ac:dyDescent="0.2">
      <c r="A46" s="242" t="s">
        <v>5</v>
      </c>
      <c r="B46" s="253">
        <f>SUM(B42:B45)</f>
        <v>575.68826000000013</v>
      </c>
      <c r="C46" s="266"/>
      <c r="D46" s="253">
        <f>SUM(D42:D45)</f>
        <v>1398.7089599999999</v>
      </c>
      <c r="E46" s="147"/>
      <c r="F46" s="69"/>
      <c r="G46" s="253">
        <f>SUM(G42:G45)</f>
        <v>2573.2599799999998</v>
      </c>
      <c r="H46" s="149"/>
    </row>
    <row r="47" spans="1:9" ht="13.5" customHeight="1" x14ac:dyDescent="0.2">
      <c r="A47" s="242"/>
      <c r="B47" s="253"/>
      <c r="C47" s="146"/>
      <c r="D47" s="253"/>
      <c r="E47" s="147"/>
      <c r="F47" s="69"/>
      <c r="G47" s="253"/>
      <c r="H47" s="149"/>
    </row>
    <row r="48" spans="1:9" ht="13.5" customHeight="1" x14ac:dyDescent="0.2">
      <c r="A48" s="242" t="s">
        <v>176</v>
      </c>
      <c r="B48" s="253"/>
      <c r="C48" s="146"/>
      <c r="D48" s="253"/>
      <c r="E48" s="147"/>
      <c r="F48" s="69"/>
      <c r="G48" s="253"/>
      <c r="H48" s="149"/>
    </row>
    <row r="49" spans="1:8" ht="13.5" customHeight="1" x14ac:dyDescent="0.2">
      <c r="A49" s="242" t="s">
        <v>177</v>
      </c>
      <c r="B49" s="253"/>
      <c r="C49" s="146"/>
      <c r="D49" s="253"/>
      <c r="E49" s="147"/>
      <c r="F49" s="69"/>
      <c r="G49" s="253"/>
      <c r="H49" s="149"/>
    </row>
    <row r="50" spans="1:8" ht="13.5" customHeight="1" x14ac:dyDescent="0.2">
      <c r="A50" s="242"/>
      <c r="B50" s="253"/>
      <c r="C50" s="146"/>
      <c r="D50" s="253"/>
      <c r="E50" s="147"/>
      <c r="F50" s="69"/>
      <c r="G50" s="253"/>
      <c r="H50" s="149"/>
    </row>
    <row r="51" spans="1:8" ht="13.5" customHeight="1" x14ac:dyDescent="0.2">
      <c r="A51" s="242"/>
      <c r="B51" s="253"/>
      <c r="C51" s="146"/>
      <c r="D51" s="253"/>
      <c r="E51" s="147"/>
      <c r="F51" s="69"/>
      <c r="G51" s="253"/>
      <c r="H51" s="149"/>
    </row>
    <row r="52" spans="1:8" ht="13.5" customHeight="1" x14ac:dyDescent="0.2">
      <c r="A52" s="51"/>
      <c r="B52" s="297" t="s">
        <v>113</v>
      </c>
      <c r="C52" s="308"/>
      <c r="D52" s="309" t="s">
        <v>110</v>
      </c>
      <c r="E52" s="297"/>
      <c r="F52" s="297"/>
      <c r="G52" s="297"/>
      <c r="H52" s="297"/>
    </row>
    <row r="53" spans="1:8" ht="12.75" x14ac:dyDescent="0.2">
      <c r="B53" s="305" t="s">
        <v>112</v>
      </c>
      <c r="C53" s="306"/>
      <c r="D53" s="307" t="s">
        <v>111</v>
      </c>
      <c r="E53" s="305"/>
      <c r="F53" s="42" t="s">
        <v>3</v>
      </c>
      <c r="G53" s="305" t="s">
        <v>107</v>
      </c>
      <c r="H53" s="305"/>
    </row>
    <row r="54" spans="1:8" s="286" customFormat="1" ht="12.75" x14ac:dyDescent="0.2">
      <c r="B54" s="247" t="s">
        <v>4</v>
      </c>
      <c r="C54" s="173"/>
      <c r="D54" s="190" t="s">
        <v>4</v>
      </c>
      <c r="E54" s="238"/>
      <c r="F54" s="239"/>
      <c r="G54" s="247" t="s">
        <v>4</v>
      </c>
      <c r="H54" s="276"/>
    </row>
    <row r="55" spans="1:8" s="286" customFormat="1" ht="12.75" x14ac:dyDescent="0.2">
      <c r="B55" s="276"/>
      <c r="C55" s="288"/>
      <c r="D55" s="276"/>
      <c r="E55" s="276"/>
      <c r="F55" s="42"/>
      <c r="G55" s="276"/>
      <c r="H55" s="276"/>
    </row>
    <row r="56" spans="1:8" ht="13.5" customHeight="1" x14ac:dyDescent="0.2">
      <c r="A56" s="244" t="s">
        <v>178</v>
      </c>
      <c r="B56" s="267">
        <f>B12+B19+B26</f>
        <v>399.58000000000004</v>
      </c>
      <c r="C56" s="269"/>
      <c r="D56" s="267">
        <f>D12+D19+D26</f>
        <v>1102.3764999999999</v>
      </c>
      <c r="E56" s="244"/>
      <c r="F56" s="244"/>
      <c r="G56" s="267">
        <f>G12+G19+G26</f>
        <v>1904.3404899999998</v>
      </c>
      <c r="H56" s="244"/>
    </row>
    <row r="57" spans="1:8" ht="13.5" customHeight="1" x14ac:dyDescent="0.2">
      <c r="A57" s="246" t="s">
        <v>77</v>
      </c>
      <c r="B57" s="268">
        <f>B43</f>
        <v>57.170999999999999</v>
      </c>
      <c r="C57" s="269"/>
      <c r="D57" s="268">
        <f>D43</f>
        <v>121.67400000000001</v>
      </c>
      <c r="E57" s="244"/>
      <c r="F57" s="244"/>
      <c r="G57" s="268">
        <f>G43</f>
        <v>181.233</v>
      </c>
      <c r="H57" s="244"/>
    </row>
    <row r="58" spans="1:8" ht="13.5" customHeight="1" x14ac:dyDescent="0.2">
      <c r="A58" s="246" t="s">
        <v>179</v>
      </c>
      <c r="B58" s="268">
        <v>0.36348999999999998</v>
      </c>
      <c r="C58" s="269"/>
      <c r="D58" s="268">
        <v>-3.6366700000000001</v>
      </c>
      <c r="E58" s="244"/>
      <c r="F58" s="244"/>
      <c r="G58" s="268">
        <v>-8.0820699999999999</v>
      </c>
      <c r="H58" s="244"/>
    </row>
    <row r="59" spans="1:8" ht="13.5" customHeight="1" x14ac:dyDescent="0.2">
      <c r="A59" s="246" t="s">
        <v>141</v>
      </c>
      <c r="B59" s="268">
        <f>'[1]Reconciliation page'!B60/1000</f>
        <v>7.3449999999999998</v>
      </c>
      <c r="C59" s="269"/>
      <c r="D59" s="268">
        <v>0</v>
      </c>
      <c r="E59" s="244"/>
      <c r="F59" s="244"/>
      <c r="G59" s="268">
        <v>0</v>
      </c>
      <c r="H59" s="244"/>
    </row>
    <row r="60" spans="1:8" ht="13.5" customHeight="1" x14ac:dyDescent="0.2">
      <c r="A60" s="246" t="s">
        <v>175</v>
      </c>
      <c r="B60" s="270">
        <f>13.53039-B59</f>
        <v>6.1853900000000008</v>
      </c>
      <c r="C60" s="269"/>
      <c r="D60" s="270">
        <v>44.049700000000001</v>
      </c>
      <c r="E60" s="244"/>
      <c r="F60" s="244"/>
      <c r="G60" s="270">
        <v>95.261250000000004</v>
      </c>
      <c r="H60" s="244"/>
    </row>
    <row r="61" spans="1:8" ht="13.5" customHeight="1" x14ac:dyDescent="0.2">
      <c r="A61" s="244" t="s">
        <v>7</v>
      </c>
      <c r="B61" s="271">
        <f>SUM(B56:B60)</f>
        <v>470.64488000000006</v>
      </c>
      <c r="C61" s="269"/>
      <c r="D61" s="271">
        <f>SUM(D56:D60)</f>
        <v>1264.4635299999998</v>
      </c>
      <c r="E61" s="244"/>
      <c r="F61" s="244"/>
      <c r="G61" s="271">
        <f>SUM(G56:G60)</f>
        <v>2172.7526699999999</v>
      </c>
      <c r="H61" s="244"/>
    </row>
    <row r="62" spans="1:8" ht="13.5" customHeight="1" x14ac:dyDescent="0.2">
      <c r="A62" s="244"/>
      <c r="B62" s="244"/>
      <c r="C62" s="244"/>
      <c r="D62" s="244"/>
      <c r="E62" s="244"/>
      <c r="F62" s="244"/>
      <c r="G62" s="244"/>
      <c r="H62" s="244"/>
    </row>
    <row r="63" spans="1:8" ht="13.5" customHeight="1" x14ac:dyDescent="0.2">
      <c r="A63" s="242" t="s">
        <v>180</v>
      </c>
      <c r="B63" s="244"/>
      <c r="C63" s="244"/>
      <c r="D63" s="244"/>
      <c r="E63" s="244"/>
      <c r="F63" s="244"/>
      <c r="G63" s="244"/>
      <c r="H63" s="244"/>
    </row>
    <row r="64" spans="1:8" ht="13.5" customHeight="1" x14ac:dyDescent="0.2">
      <c r="A64" s="244" t="s">
        <v>181</v>
      </c>
      <c r="B64" s="244"/>
      <c r="C64" s="244"/>
      <c r="D64" s="244"/>
      <c r="E64" s="244"/>
      <c r="F64" s="244"/>
      <c r="G64" s="244"/>
      <c r="H64" s="244"/>
    </row>
    <row r="65" spans="1:8" ht="13.5" customHeight="1" x14ac:dyDescent="0.2">
      <c r="A65" s="244"/>
      <c r="B65" s="244"/>
      <c r="C65" s="244"/>
      <c r="D65" s="244"/>
      <c r="E65" s="244"/>
      <c r="F65" s="244"/>
      <c r="G65" s="244"/>
      <c r="H65" s="244"/>
    </row>
    <row r="66" spans="1:8" ht="13.5" customHeight="1" x14ac:dyDescent="0.2">
      <c r="A66" s="244"/>
      <c r="B66" s="244"/>
      <c r="C66" s="244"/>
      <c r="D66" s="244"/>
      <c r="E66" s="244"/>
      <c r="F66" s="244"/>
      <c r="G66" s="244"/>
      <c r="H66" s="244"/>
    </row>
    <row r="67" spans="1:8" ht="13.5" customHeight="1" x14ac:dyDescent="0.2">
      <c r="A67" s="244"/>
      <c r="B67" s="244"/>
      <c r="C67" s="244"/>
      <c r="D67" s="244"/>
      <c r="E67" s="244"/>
      <c r="F67" s="244"/>
      <c r="G67" s="244"/>
      <c r="H67" s="244"/>
    </row>
    <row r="68" spans="1:8" ht="13.5" customHeight="1" x14ac:dyDescent="0.2">
      <c r="A68" s="244"/>
      <c r="B68" s="244"/>
      <c r="C68" s="244"/>
      <c r="D68" s="244"/>
      <c r="E68" s="244"/>
      <c r="F68" s="244"/>
      <c r="G68" s="244"/>
      <c r="H68" s="244"/>
    </row>
    <row r="69" spans="1:8" ht="13.5" customHeight="1" x14ac:dyDescent="0.2">
      <c r="A69" s="244"/>
      <c r="B69" s="244"/>
      <c r="C69" s="244"/>
      <c r="D69" s="244"/>
      <c r="E69" s="244"/>
      <c r="F69" s="244"/>
      <c r="G69" s="244"/>
      <c r="H69" s="244"/>
    </row>
    <row r="70" spans="1:8" ht="13.5" customHeight="1" x14ac:dyDescent="0.2">
      <c r="A70" s="244"/>
      <c r="B70" s="244"/>
      <c r="C70" s="244"/>
      <c r="D70" s="244"/>
      <c r="E70" s="244"/>
      <c r="F70" s="244"/>
      <c r="G70" s="244"/>
      <c r="H70" s="244"/>
    </row>
  </sheetData>
  <mergeCells count="18">
    <mergeCell ref="B6:C6"/>
    <mergeCell ref="D6:E6"/>
    <mergeCell ref="G6:H6"/>
    <mergeCell ref="A1:H1"/>
    <mergeCell ref="A2:H2"/>
    <mergeCell ref="A3:H3"/>
    <mergeCell ref="B5:C5"/>
    <mergeCell ref="D5:H5"/>
    <mergeCell ref="B53:C53"/>
    <mergeCell ref="D53:E53"/>
    <mergeCell ref="G53:H53"/>
    <mergeCell ref="B38:C38"/>
    <mergeCell ref="D38:H38"/>
    <mergeCell ref="B39:C39"/>
    <mergeCell ref="D39:E39"/>
    <mergeCell ref="G39:H39"/>
    <mergeCell ref="B52:C52"/>
    <mergeCell ref="D52:H52"/>
  </mergeCell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0"/>
  <sheetViews>
    <sheetView zoomScaleNormal="100" workbookViewId="0">
      <selection activeCell="G15" sqref="G15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6" width="15.83203125" style="1" customWidth="1"/>
    <col min="7" max="16384" width="21.5" style="1"/>
  </cols>
  <sheetData>
    <row r="1" spans="1:7" ht="13.5" customHeight="1" x14ac:dyDescent="0.25">
      <c r="A1" s="296" t="s">
        <v>0</v>
      </c>
      <c r="B1" s="299"/>
      <c r="C1" s="310"/>
      <c r="D1" s="310"/>
      <c r="E1" s="298"/>
      <c r="F1" s="298"/>
      <c r="G1" s="3"/>
    </row>
    <row r="2" spans="1:7" ht="13.5" customHeight="1" x14ac:dyDescent="0.25">
      <c r="A2" s="296" t="s">
        <v>48</v>
      </c>
      <c r="B2" s="299"/>
      <c r="C2" s="310"/>
      <c r="D2" s="310"/>
      <c r="E2" s="310"/>
      <c r="F2" s="299"/>
      <c r="G2" s="3"/>
    </row>
    <row r="3" spans="1:7" ht="13.5" customHeight="1" x14ac:dyDescent="0.25">
      <c r="A3" s="296" t="s">
        <v>2</v>
      </c>
      <c r="B3" s="299"/>
      <c r="C3" s="310"/>
      <c r="D3" s="310"/>
      <c r="E3" s="310"/>
      <c r="F3" s="299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303" t="s">
        <v>49</v>
      </c>
      <c r="B5" s="299"/>
      <c r="C5" s="299"/>
      <c r="D5" s="299"/>
      <c r="E5" s="299"/>
      <c r="F5" s="299"/>
      <c r="G5" s="3"/>
    </row>
    <row r="6" spans="1:7" ht="13.5" customHeight="1" x14ac:dyDescent="0.2">
      <c r="A6" s="303" t="s">
        <v>50</v>
      </c>
      <c r="B6" s="299"/>
      <c r="C6" s="299"/>
      <c r="D6" s="299"/>
      <c r="E6" s="299"/>
      <c r="F6" s="299"/>
      <c r="G6" s="3"/>
    </row>
    <row r="7" spans="1:7" ht="13.5" customHeight="1" x14ac:dyDescent="0.2">
      <c r="A7" s="3"/>
      <c r="B7" s="3"/>
      <c r="C7" s="3"/>
      <c r="D7" s="3"/>
      <c r="E7" s="3"/>
      <c r="F7" s="3"/>
      <c r="G7" s="3"/>
    </row>
    <row r="8" spans="1:7" ht="13.5" customHeight="1" x14ac:dyDescent="0.2">
      <c r="A8" s="5" t="s">
        <v>104</v>
      </c>
      <c r="B8" s="3"/>
      <c r="C8" s="3"/>
      <c r="D8" s="3"/>
      <c r="E8" s="3"/>
      <c r="F8" s="3"/>
      <c r="G8" s="3"/>
    </row>
    <row r="9" spans="1:7" ht="13.5" customHeight="1" x14ac:dyDescent="0.2">
      <c r="A9" s="3"/>
      <c r="B9" s="3"/>
      <c r="C9" s="3"/>
      <c r="D9" s="3"/>
      <c r="E9" s="3"/>
      <c r="F9" s="3"/>
      <c r="G9" s="3"/>
    </row>
    <row r="10" spans="1:7" ht="13.5" customHeight="1" x14ac:dyDescent="0.2">
      <c r="A10" s="303" t="s">
        <v>123</v>
      </c>
      <c r="B10" s="299"/>
      <c r="C10" s="299"/>
      <c r="D10" s="299"/>
      <c r="E10" s="299"/>
      <c r="F10" s="299"/>
      <c r="G10" s="3"/>
    </row>
    <row r="11" spans="1:7" ht="13.5" customHeight="1" x14ac:dyDescent="0.2">
      <c r="A11" s="303" t="s">
        <v>182</v>
      </c>
      <c r="B11" s="299"/>
      <c r="C11" s="299"/>
      <c r="D11" s="299"/>
      <c r="E11" s="299"/>
      <c r="F11" s="299"/>
      <c r="G11" s="3"/>
    </row>
    <row r="12" spans="1:7" ht="13.5" customHeight="1" x14ac:dyDescent="0.2">
      <c r="A12" s="303" t="s">
        <v>124</v>
      </c>
      <c r="B12" s="299"/>
      <c r="C12" s="299"/>
      <c r="D12" s="299"/>
      <c r="E12" s="299"/>
      <c r="F12" s="299"/>
      <c r="G12" s="3"/>
    </row>
    <row r="13" spans="1:7" ht="13.5" customHeight="1" x14ac:dyDescent="0.2">
      <c r="A13" s="299"/>
      <c r="B13" s="299"/>
      <c r="C13" s="299"/>
      <c r="D13" s="299"/>
      <c r="E13" s="299"/>
      <c r="F13" s="299"/>
      <c r="G13" s="3"/>
    </row>
    <row r="14" spans="1:7" ht="13.5" customHeight="1" x14ac:dyDescent="0.2">
      <c r="A14" s="303" t="s">
        <v>148</v>
      </c>
      <c r="B14" s="299"/>
      <c r="C14" s="299"/>
      <c r="D14" s="299"/>
      <c r="E14" s="299"/>
      <c r="F14" s="299"/>
      <c r="G14" s="3"/>
    </row>
    <row r="15" spans="1:7" ht="13.5" customHeight="1" x14ac:dyDescent="0.2">
      <c r="A15" s="303" t="s">
        <v>149</v>
      </c>
      <c r="B15" s="299"/>
      <c r="C15" s="299"/>
      <c r="D15" s="299"/>
      <c r="E15" s="299"/>
      <c r="F15" s="299"/>
      <c r="G15" s="3"/>
    </row>
    <row r="16" spans="1:7" ht="13.5" customHeight="1" x14ac:dyDescent="0.2">
      <c r="A16" s="303" t="s">
        <v>150</v>
      </c>
      <c r="B16" s="299"/>
      <c r="C16" s="299"/>
      <c r="D16" s="299"/>
      <c r="E16" s="299"/>
      <c r="F16" s="299"/>
      <c r="G16" s="3"/>
    </row>
    <row r="17" spans="1:8" ht="13.5" customHeight="1" x14ac:dyDescent="0.2">
      <c r="A17" s="303" t="s">
        <v>155</v>
      </c>
      <c r="B17" s="299"/>
      <c r="C17" s="299"/>
      <c r="D17" s="299"/>
      <c r="E17" s="299"/>
      <c r="F17" s="299"/>
      <c r="G17" s="3"/>
    </row>
    <row r="18" spans="1:8" ht="13.5" customHeight="1" x14ac:dyDescent="0.2">
      <c r="A18" s="303" t="s">
        <v>158</v>
      </c>
      <c r="B18" s="299"/>
      <c r="C18" s="299"/>
      <c r="D18" s="299"/>
      <c r="E18" s="299"/>
      <c r="F18" s="299"/>
      <c r="G18" s="3"/>
    </row>
    <row r="19" spans="1:8" ht="13.5" customHeight="1" x14ac:dyDescent="0.2">
      <c r="A19" s="303" t="s">
        <v>156</v>
      </c>
      <c r="B19" s="299"/>
      <c r="C19" s="299"/>
      <c r="D19" s="299"/>
      <c r="E19" s="299"/>
      <c r="F19" s="299"/>
      <c r="G19" s="3"/>
    </row>
    <row r="20" spans="1:8" ht="13.5" customHeight="1" x14ac:dyDescent="0.2">
      <c r="A20" s="303" t="s">
        <v>157</v>
      </c>
      <c r="B20" s="299"/>
      <c r="C20" s="299"/>
      <c r="D20" s="299"/>
      <c r="E20" s="299"/>
      <c r="F20" s="299"/>
      <c r="G20" s="3"/>
    </row>
    <row r="21" spans="1:8" ht="13.5" customHeight="1" x14ac:dyDescent="0.2">
      <c r="A21" s="3"/>
      <c r="B21" s="3"/>
      <c r="C21" s="3"/>
      <c r="D21" s="3"/>
      <c r="E21" s="3"/>
      <c r="F21" s="3"/>
      <c r="G21" s="3"/>
    </row>
    <row r="22" spans="1:8" ht="13.5" customHeight="1" x14ac:dyDescent="0.2">
      <c r="A22" s="3"/>
      <c r="B22" s="177" t="s">
        <v>113</v>
      </c>
      <c r="C22" s="309" t="s">
        <v>110</v>
      </c>
      <c r="D22" s="297"/>
      <c r="E22" s="297"/>
      <c r="F22" s="278"/>
      <c r="G22" s="3"/>
    </row>
    <row r="23" spans="1:8" ht="45" x14ac:dyDescent="0.2">
      <c r="A23" s="3"/>
      <c r="B23" s="205" t="s">
        <v>112</v>
      </c>
      <c r="C23" s="150" t="s">
        <v>111</v>
      </c>
      <c r="D23" s="42" t="s">
        <v>3</v>
      </c>
      <c r="E23" s="150" t="s">
        <v>107</v>
      </c>
      <c r="F23" s="276"/>
      <c r="G23" s="3"/>
    </row>
    <row r="24" spans="1:8" ht="13.5" customHeight="1" x14ac:dyDescent="0.2">
      <c r="A24" s="3"/>
      <c r="B24" s="173" t="s">
        <v>4</v>
      </c>
      <c r="C24" s="240" t="s">
        <v>4</v>
      </c>
      <c r="D24" s="289"/>
      <c r="E24" s="290" t="s">
        <v>4</v>
      </c>
      <c r="F24" s="239"/>
      <c r="G24" s="234"/>
      <c r="H24" s="234"/>
    </row>
    <row r="25" spans="1:8" ht="13.5" customHeight="1" x14ac:dyDescent="0.2">
      <c r="A25" s="10" t="s">
        <v>132</v>
      </c>
      <c r="B25" s="187">
        <f>'Statements of Operations'!B41</f>
        <v>33449</v>
      </c>
      <c r="C25" s="86">
        <f>'Statements of Operations'!C41</f>
        <v>1242081</v>
      </c>
      <c r="D25" s="85"/>
      <c r="E25" s="86">
        <f>'Statements of Operations'!E41</f>
        <v>-2913142</v>
      </c>
      <c r="F25" s="248"/>
      <c r="G25" s="3"/>
    </row>
    <row r="26" spans="1:8" ht="13.5" customHeight="1" x14ac:dyDescent="0.2">
      <c r="A26" s="9" t="s">
        <v>51</v>
      </c>
      <c r="B26" s="184">
        <f>'Statements of Operations'!B39</f>
        <v>1156</v>
      </c>
      <c r="C26" s="88">
        <f>'Statements of Operations'!C39</f>
        <v>-4626</v>
      </c>
      <c r="D26" s="87"/>
      <c r="E26" s="88">
        <f>'Statements of Operations'!E39</f>
        <v>-373380</v>
      </c>
      <c r="F26" s="134"/>
      <c r="G26" s="3"/>
    </row>
    <row r="27" spans="1:8" ht="13.5" customHeight="1" x14ac:dyDescent="0.2">
      <c r="A27" s="9" t="s">
        <v>11</v>
      </c>
      <c r="B27" s="184">
        <f>-'Statements of Operations'!B29</f>
        <v>10754</v>
      </c>
      <c r="C27" s="88">
        <f>-'Statements of Operations'!C29</f>
        <v>133235</v>
      </c>
      <c r="D27" s="88"/>
      <c r="E27" s="88">
        <f>-'Statements of Operations'!E29</f>
        <v>393549</v>
      </c>
      <c r="F27" s="134"/>
      <c r="G27" s="3"/>
    </row>
    <row r="28" spans="1:8" ht="13.5" customHeight="1" x14ac:dyDescent="0.2">
      <c r="A28" s="9" t="s">
        <v>8</v>
      </c>
      <c r="B28" s="184">
        <f>'Statements of Operations'!B14</f>
        <v>32604</v>
      </c>
      <c r="C28" s="88">
        <f>'Statements of Operations'!C14</f>
        <v>191581</v>
      </c>
      <c r="D28" s="87"/>
      <c r="E28" s="88">
        <f>'Statements of Operations'!E14</f>
        <v>379345</v>
      </c>
      <c r="F28" s="134"/>
      <c r="G28" s="3"/>
    </row>
    <row r="29" spans="1:8" s="153" customFormat="1" ht="13.5" customHeight="1" x14ac:dyDescent="0.2">
      <c r="A29" s="9" t="s">
        <v>122</v>
      </c>
      <c r="B29" s="184">
        <f>'Statements of Operations'!B15</f>
        <v>7634</v>
      </c>
      <c r="C29" s="88">
        <f>'Statements of Operations'!C15</f>
        <v>24321</v>
      </c>
      <c r="D29" s="87"/>
      <c r="E29" s="88">
        <f>'Statements of Operations'!E15</f>
        <v>33680</v>
      </c>
      <c r="F29" s="134"/>
      <c r="G29" s="152"/>
    </row>
    <row r="30" spans="1:8" ht="13.5" customHeight="1" x14ac:dyDescent="0.2">
      <c r="A30" s="9" t="s">
        <v>147</v>
      </c>
      <c r="B30" s="184">
        <f>'Statements of Operations'!B16</f>
        <v>796</v>
      </c>
      <c r="C30" s="134">
        <f>'Statements of Operations'!C16</f>
        <v>-728</v>
      </c>
      <c r="D30" s="87"/>
      <c r="E30" s="134">
        <f>'Statements of Operations'!E16</f>
        <v>-8811</v>
      </c>
      <c r="F30" s="134"/>
      <c r="G30" s="3"/>
    </row>
    <row r="31" spans="1:8" s="55" customFormat="1" ht="13.5" customHeight="1" x14ac:dyDescent="0.2">
      <c r="A31" s="9" t="s">
        <v>92</v>
      </c>
      <c r="B31" s="184">
        <f>'Statements of Operations'!B18</f>
        <v>0</v>
      </c>
      <c r="C31" s="134">
        <f>'Statements of Operations'!C18</f>
        <v>129267</v>
      </c>
      <c r="D31" s="87"/>
      <c r="E31" s="134">
        <f>'Statements of Operations'!E18</f>
        <v>2628303</v>
      </c>
      <c r="F31" s="134"/>
      <c r="G31" s="54"/>
    </row>
    <row r="32" spans="1:8" s="101" customFormat="1" ht="13.5" customHeight="1" x14ac:dyDescent="0.2">
      <c r="A32" s="9" t="s">
        <v>95</v>
      </c>
      <c r="B32" s="184">
        <f>'Statements of Operations'!B19</f>
        <v>0</v>
      </c>
      <c r="C32" s="88">
        <f>'Statements of Operations'!C19</f>
        <v>0</v>
      </c>
      <c r="D32" s="87"/>
      <c r="E32" s="88">
        <f>'Statements of Operations'!E19</f>
        <v>116343</v>
      </c>
      <c r="F32" s="134"/>
      <c r="G32" s="100"/>
    </row>
    <row r="33" spans="1:10" s="58" customFormat="1" ht="13.5" customHeight="1" x14ac:dyDescent="0.2">
      <c r="A33" s="237" t="s">
        <v>97</v>
      </c>
      <c r="B33" s="184">
        <f>-'Statements of Operations'!B34</f>
        <v>0</v>
      </c>
      <c r="C33" s="134">
        <f>-'Statements of Operations'!C34</f>
        <v>2213</v>
      </c>
      <c r="D33" s="87"/>
      <c r="E33" s="134">
        <f>-'Statements of Operations'!E34</f>
        <v>27910</v>
      </c>
      <c r="F33" s="134"/>
      <c r="G33" s="57"/>
    </row>
    <row r="34" spans="1:10" s="115" customFormat="1" ht="13.5" customHeight="1" x14ac:dyDescent="0.2">
      <c r="A34" s="9" t="s">
        <v>99</v>
      </c>
      <c r="B34" s="184">
        <f>-'Statements of Operations'!B35</f>
        <v>759</v>
      </c>
      <c r="C34" s="134">
        <f>-'Statements of Operations'!C35</f>
        <v>-1630041</v>
      </c>
      <c r="D34" s="231"/>
      <c r="E34" s="134">
        <f>-'Statements of Operations'!E35</f>
        <v>0</v>
      </c>
      <c r="F34" s="134"/>
      <c r="G34" s="114"/>
    </row>
    <row r="35" spans="1:10" s="229" customFormat="1" ht="13.5" customHeight="1" x14ac:dyDescent="0.2">
      <c r="A35" s="9" t="s">
        <v>141</v>
      </c>
      <c r="B35" s="184">
        <v>7345</v>
      </c>
      <c r="C35" s="90">
        <v>0</v>
      </c>
      <c r="D35" s="87"/>
      <c r="E35" s="134">
        <v>0</v>
      </c>
      <c r="F35" s="134"/>
      <c r="G35" s="228"/>
    </row>
    <row r="36" spans="1:10" ht="13.5" customHeight="1" x14ac:dyDescent="0.2">
      <c r="A36" s="9"/>
      <c r="B36" s="209"/>
      <c r="C36" s="142"/>
      <c r="D36" s="132"/>
      <c r="E36" s="94"/>
      <c r="F36" s="277"/>
      <c r="G36" s="3"/>
    </row>
    <row r="37" spans="1:10" ht="13.5" customHeight="1" thickBot="1" x14ac:dyDescent="0.25">
      <c r="A37" s="10" t="s">
        <v>104</v>
      </c>
      <c r="B37" s="186">
        <f>SUM(B25:B36)</f>
        <v>94497</v>
      </c>
      <c r="C37" s="91">
        <f>SUM(C25:C36)</f>
        <v>87303</v>
      </c>
      <c r="D37" s="85"/>
      <c r="E37" s="91">
        <f>SUM(E25:E36)</f>
        <v>283797</v>
      </c>
      <c r="F37" s="248"/>
      <c r="G37" s="11"/>
    </row>
    <row r="38" spans="1:10" ht="13.5" customHeight="1" thickTop="1" x14ac:dyDescent="0.2">
      <c r="A38" s="3"/>
      <c r="B38" s="3"/>
      <c r="C38" s="132"/>
      <c r="D38" s="132"/>
      <c r="E38" s="143"/>
      <c r="F38" s="144"/>
      <c r="G38" s="3"/>
    </row>
    <row r="39" spans="1:10" ht="13.5" customHeight="1" x14ac:dyDescent="0.2">
      <c r="A39" s="312" t="s">
        <v>135</v>
      </c>
      <c r="B39" s="313"/>
      <c r="C39" s="313"/>
      <c r="D39" s="3"/>
      <c r="E39" s="26"/>
      <c r="F39" s="26"/>
      <c r="G39" s="3"/>
    </row>
    <row r="40" spans="1:10" ht="13.5" customHeight="1" x14ac:dyDescent="0.2">
      <c r="A40" s="3"/>
      <c r="B40" s="3"/>
      <c r="C40" s="3"/>
      <c r="D40" s="3"/>
      <c r="E40" s="3"/>
      <c r="F40" s="3"/>
      <c r="G40" s="3"/>
    </row>
    <row r="41" spans="1:10" ht="13.5" customHeight="1" x14ac:dyDescent="0.2">
      <c r="A41" s="303" t="s">
        <v>159</v>
      </c>
      <c r="B41" s="313"/>
      <c r="C41" s="313"/>
      <c r="D41" s="299"/>
      <c r="E41" s="313"/>
      <c r="F41" s="313"/>
      <c r="G41" s="3"/>
    </row>
    <row r="42" spans="1:10" ht="13.5" customHeight="1" x14ac:dyDescent="0.2">
      <c r="A42" s="303" t="s">
        <v>160</v>
      </c>
      <c r="B42" s="313"/>
      <c r="C42" s="313"/>
      <c r="D42" s="299"/>
      <c r="E42" s="313"/>
      <c r="F42" s="313"/>
      <c r="G42" s="3"/>
    </row>
    <row r="43" spans="1:10" ht="13.5" customHeight="1" x14ac:dyDescent="0.2">
      <c r="A43" s="303" t="s">
        <v>151</v>
      </c>
      <c r="B43" s="313"/>
      <c r="C43" s="313"/>
      <c r="D43" s="299"/>
      <c r="E43" s="313"/>
      <c r="F43" s="313"/>
      <c r="G43" s="3"/>
    </row>
    <row r="44" spans="1:10" ht="13.5" customHeight="1" x14ac:dyDescent="0.2">
      <c r="A44" s="303" t="s">
        <v>152</v>
      </c>
      <c r="B44" s="313"/>
      <c r="C44" s="313"/>
      <c r="D44" s="299"/>
      <c r="E44" s="313"/>
      <c r="F44" s="313"/>
      <c r="G44" s="3"/>
    </row>
    <row r="45" spans="1:10" ht="13.5" customHeight="1" x14ac:dyDescent="0.2">
      <c r="A45" s="303" t="s">
        <v>153</v>
      </c>
      <c r="B45" s="313"/>
      <c r="C45" s="313"/>
      <c r="D45" s="299"/>
      <c r="E45" s="313"/>
      <c r="F45" s="313"/>
      <c r="G45" s="3"/>
    </row>
    <row r="46" spans="1:10" ht="13.5" customHeight="1" x14ac:dyDescent="0.2">
      <c r="A46" s="303" t="s">
        <v>154</v>
      </c>
      <c r="B46" s="313"/>
      <c r="C46" s="313"/>
      <c r="D46" s="299"/>
      <c r="E46" s="313"/>
      <c r="F46" s="313"/>
      <c r="G46" s="3"/>
    </row>
    <row r="47" spans="1:10" s="273" customFormat="1" ht="13.5" customHeight="1" x14ac:dyDescent="0.2">
      <c r="A47" s="274"/>
      <c r="B47" s="275"/>
      <c r="C47" s="275"/>
      <c r="D47" s="272"/>
      <c r="E47" s="275"/>
      <c r="F47" s="275"/>
      <c r="G47" s="272"/>
    </row>
    <row r="48" spans="1:10" ht="12.75" x14ac:dyDescent="0.2">
      <c r="A48" s="3"/>
      <c r="B48" s="171" t="str">
        <f>B22</f>
        <v>Successor</v>
      </c>
      <c r="C48" s="314" t="s">
        <v>110</v>
      </c>
      <c r="D48" s="300"/>
      <c r="E48" s="300"/>
      <c r="F48" s="279"/>
      <c r="G48" s="3"/>
      <c r="H48" s="311"/>
      <c r="I48" s="302"/>
      <c r="J48" s="302"/>
    </row>
    <row r="49" spans="1:10" ht="45" x14ac:dyDescent="0.2">
      <c r="A49" s="3"/>
      <c r="B49" s="205" t="str">
        <f>B23</f>
        <v>October 2, 2016 through December 31, 2016</v>
      </c>
      <c r="C49" s="150" t="str">
        <f>C23</f>
        <v>January 1, 2016 through October 1, 2016</v>
      </c>
      <c r="D49" s="19" t="s">
        <v>3</v>
      </c>
      <c r="E49" s="150" t="str">
        <f>E23</f>
        <v>Year ended December 31, 2015</v>
      </c>
      <c r="F49" s="276"/>
      <c r="G49" s="10" t="s">
        <v>3</v>
      </c>
      <c r="H49" s="4" t="s">
        <v>3</v>
      </c>
      <c r="I49" s="15" t="s">
        <v>3</v>
      </c>
      <c r="J49" s="4" t="s">
        <v>3</v>
      </c>
    </row>
    <row r="50" spans="1:10" ht="13.5" customHeight="1" x14ac:dyDescent="0.2">
      <c r="A50" s="3"/>
      <c r="B50" s="291" t="s">
        <v>4</v>
      </c>
      <c r="C50" s="292" t="s">
        <v>4</v>
      </c>
      <c r="D50" s="293"/>
      <c r="E50" s="290" t="s">
        <v>4</v>
      </c>
      <c r="F50" s="280"/>
      <c r="G50" s="3"/>
    </row>
    <row r="51" spans="1:10" ht="13.5" customHeight="1" x14ac:dyDescent="0.2">
      <c r="A51" s="131" t="s">
        <v>132</v>
      </c>
      <c r="B51" s="187">
        <f>B25</f>
        <v>33449</v>
      </c>
      <c r="C51" s="86">
        <f>C25</f>
        <v>1242081</v>
      </c>
      <c r="D51" s="135"/>
      <c r="E51" s="86">
        <f>E25</f>
        <v>-2913142</v>
      </c>
      <c r="F51" s="248"/>
      <c r="G51" s="3"/>
      <c r="H51" s="13"/>
      <c r="I51" s="3"/>
      <c r="J51" s="13"/>
    </row>
    <row r="52" spans="1:10" ht="13.5" customHeight="1" x14ac:dyDescent="0.2">
      <c r="A52" s="132"/>
      <c r="B52" s="215"/>
      <c r="C52" s="95"/>
      <c r="D52" s="69"/>
      <c r="E52" s="95"/>
      <c r="F52" s="280"/>
      <c r="G52" s="3"/>
      <c r="H52" s="3"/>
      <c r="I52" s="3"/>
      <c r="J52" s="3"/>
    </row>
    <row r="53" spans="1:10" ht="13.5" customHeight="1" x14ac:dyDescent="0.2">
      <c r="A53" s="71" t="s">
        <v>147</v>
      </c>
      <c r="B53" s="184">
        <f t="shared" ref="B53:C57" si="0">B30</f>
        <v>796</v>
      </c>
      <c r="C53" s="88">
        <f t="shared" si="0"/>
        <v>-728</v>
      </c>
      <c r="D53" s="137"/>
      <c r="E53" s="88">
        <f>E30</f>
        <v>-8811</v>
      </c>
      <c r="F53" s="134"/>
      <c r="G53" s="105"/>
      <c r="H53" s="16"/>
      <c r="I53" s="3"/>
      <c r="J53" s="16"/>
    </row>
    <row r="54" spans="1:10" s="55" customFormat="1" ht="13.5" customHeight="1" x14ac:dyDescent="0.2">
      <c r="A54" s="71" t="s">
        <v>92</v>
      </c>
      <c r="B54" s="184">
        <f t="shared" si="0"/>
        <v>0</v>
      </c>
      <c r="C54" s="88">
        <f t="shared" si="0"/>
        <v>129267</v>
      </c>
      <c r="D54" s="137"/>
      <c r="E54" s="88">
        <f>E31</f>
        <v>2628303</v>
      </c>
      <c r="F54" s="134"/>
      <c r="G54" s="54"/>
      <c r="H54" s="56"/>
      <c r="I54" s="54"/>
      <c r="J54" s="56"/>
    </row>
    <row r="55" spans="1:10" s="101" customFormat="1" ht="13.5" customHeight="1" x14ac:dyDescent="0.2">
      <c r="A55" s="71" t="s">
        <v>95</v>
      </c>
      <c r="B55" s="184">
        <f t="shared" si="0"/>
        <v>0</v>
      </c>
      <c r="C55" s="88">
        <f t="shared" si="0"/>
        <v>0</v>
      </c>
      <c r="D55" s="137"/>
      <c r="E55" s="88">
        <f>E32</f>
        <v>116343</v>
      </c>
      <c r="F55" s="134"/>
      <c r="G55" s="100"/>
      <c r="H55" s="102"/>
      <c r="I55" s="100"/>
      <c r="J55" s="102"/>
    </row>
    <row r="56" spans="1:10" s="58" customFormat="1" ht="13.5" customHeight="1" x14ac:dyDescent="0.2">
      <c r="A56" s="237" t="s">
        <v>97</v>
      </c>
      <c r="B56" s="184">
        <f t="shared" si="0"/>
        <v>0</v>
      </c>
      <c r="C56" s="88">
        <f t="shared" si="0"/>
        <v>2213</v>
      </c>
      <c r="D56" s="137"/>
      <c r="E56" s="88">
        <f>E33</f>
        <v>27910</v>
      </c>
      <c r="F56" s="134"/>
      <c r="G56" s="57"/>
      <c r="H56" s="59"/>
      <c r="I56" s="57"/>
      <c r="J56" s="59"/>
    </row>
    <row r="57" spans="1:10" s="115" customFormat="1" ht="13.5" customHeight="1" x14ac:dyDescent="0.2">
      <c r="A57" s="71" t="s">
        <v>99</v>
      </c>
      <c r="B57" s="184">
        <f t="shared" si="0"/>
        <v>759</v>
      </c>
      <c r="C57" s="88">
        <f t="shared" si="0"/>
        <v>-1630041</v>
      </c>
      <c r="D57" s="137"/>
      <c r="E57" s="88">
        <f>E34</f>
        <v>0</v>
      </c>
      <c r="F57" s="134"/>
      <c r="G57" s="114"/>
      <c r="H57" s="116"/>
      <c r="I57" s="114"/>
      <c r="J57" s="116"/>
    </row>
    <row r="58" spans="1:10" s="229" customFormat="1" ht="13.5" customHeight="1" x14ac:dyDescent="0.2">
      <c r="A58" s="9" t="s">
        <v>141</v>
      </c>
      <c r="B58" s="184">
        <f>B35</f>
        <v>7345</v>
      </c>
      <c r="C58" s="88">
        <v>0</v>
      </c>
      <c r="D58" s="137"/>
      <c r="E58" s="88">
        <v>0</v>
      </c>
      <c r="F58" s="134"/>
      <c r="G58" s="228"/>
      <c r="H58" s="230"/>
      <c r="I58" s="228"/>
      <c r="J58" s="230"/>
    </row>
    <row r="59" spans="1:10" ht="13.5" customHeight="1" x14ac:dyDescent="0.2">
      <c r="A59" s="71" t="s">
        <v>89</v>
      </c>
      <c r="B59" s="185">
        <f>ROUND((-B53)*0.36,0)</f>
        <v>-287</v>
      </c>
      <c r="C59" s="90">
        <f>ROUND((-C53)*0.36,0)</f>
        <v>262</v>
      </c>
      <c r="D59" s="138"/>
      <c r="E59" s="90">
        <f>ROUND((-E53)*0.36,0)-348338</f>
        <v>-345166</v>
      </c>
      <c r="F59" s="134"/>
      <c r="G59" s="3"/>
      <c r="H59" s="17"/>
      <c r="I59" s="3"/>
      <c r="J59" s="16"/>
    </row>
    <row r="60" spans="1:10" ht="13.5" customHeight="1" x14ac:dyDescent="0.2">
      <c r="A60" s="145"/>
      <c r="B60" s="199"/>
      <c r="C60" s="51"/>
      <c r="D60" s="51"/>
      <c r="E60" s="51"/>
      <c r="F60" s="281"/>
      <c r="G60" s="3"/>
      <c r="H60" s="3"/>
      <c r="I60" s="3"/>
      <c r="J60" s="3"/>
    </row>
    <row r="61" spans="1:10" ht="13.5" customHeight="1" thickBot="1" x14ac:dyDescent="0.25">
      <c r="A61" s="131" t="s">
        <v>136</v>
      </c>
      <c r="B61" s="186">
        <f>SUM(B51:B59)</f>
        <v>42062</v>
      </c>
      <c r="C61" s="91">
        <f>SUM(C51:C59)</f>
        <v>-256946</v>
      </c>
      <c r="D61" s="135"/>
      <c r="E61" s="91">
        <f>SUM(E51:E59)</f>
        <v>-494563</v>
      </c>
      <c r="F61" s="248"/>
      <c r="G61" s="13"/>
      <c r="H61" s="13"/>
      <c r="I61" s="13"/>
      <c r="J61" s="13"/>
    </row>
    <row r="62" spans="1:10" ht="13.5" customHeight="1" thickTop="1" x14ac:dyDescent="0.2">
      <c r="A62" s="69"/>
      <c r="B62" s="199"/>
      <c r="C62" s="51"/>
      <c r="D62" s="51"/>
      <c r="E62" s="51"/>
      <c r="F62" s="281"/>
      <c r="G62" s="8"/>
      <c r="H62" s="18"/>
      <c r="I62" s="8"/>
      <c r="J62" s="18"/>
    </row>
    <row r="63" spans="1:10" ht="13.5" customHeight="1" thickBot="1" x14ac:dyDescent="0.25">
      <c r="A63" s="131" t="s">
        <v>14</v>
      </c>
      <c r="B63" s="216">
        <f>'Statements of Operations'!B50</f>
        <v>25469</v>
      </c>
      <c r="C63" s="157" t="str">
        <f>'Statements of Operations'!C48</f>
        <v>N/A</v>
      </c>
      <c r="D63" s="210"/>
      <c r="E63" s="157" t="str">
        <f>'Statements of Operations'!E48</f>
        <v>N/A</v>
      </c>
      <c r="F63" s="225"/>
      <c r="G63" s="3"/>
      <c r="H63" s="16"/>
      <c r="I63" s="3"/>
      <c r="J63" s="16"/>
    </row>
    <row r="64" spans="1:10" ht="13.5" customHeight="1" thickTop="1" x14ac:dyDescent="0.2">
      <c r="A64" s="132"/>
      <c r="B64" s="206"/>
      <c r="C64" s="211"/>
      <c r="D64" s="210"/>
      <c r="E64" s="211"/>
      <c r="F64" s="282"/>
      <c r="G64" s="3"/>
    </row>
    <row r="65" spans="1:10" ht="13.5" customHeight="1" x14ac:dyDescent="0.2">
      <c r="A65" s="131" t="s">
        <v>145</v>
      </c>
      <c r="B65" s="217">
        <f>'Statements of Operations'!B46</f>
        <v>1.3133220778200949</v>
      </c>
      <c r="C65" s="212" t="str">
        <f>'Statements of Operations'!C44</f>
        <v>N/A</v>
      </c>
      <c r="D65" s="213"/>
      <c r="E65" s="212" t="str">
        <f>'Statements of Operations'!E44</f>
        <v>N/A</v>
      </c>
      <c r="F65" s="224"/>
      <c r="G65" s="3"/>
      <c r="H65" s="12"/>
      <c r="I65" s="3"/>
      <c r="J65" s="12"/>
    </row>
    <row r="66" spans="1:10" ht="13.5" customHeight="1" x14ac:dyDescent="0.2">
      <c r="A66" s="132"/>
      <c r="B66" s="217"/>
      <c r="C66" s="96"/>
      <c r="D66" s="51"/>
      <c r="E66" s="96"/>
      <c r="F66" s="283"/>
      <c r="G66" s="3"/>
      <c r="H66" s="3"/>
      <c r="I66" s="3"/>
      <c r="J66" s="3"/>
    </row>
    <row r="67" spans="1:10" ht="13.5" customHeight="1" x14ac:dyDescent="0.2">
      <c r="A67" s="71" t="s">
        <v>147</v>
      </c>
      <c r="B67" s="218">
        <f t="shared" ref="B67:B73" si="1">+B53/B$63</f>
        <v>3.125368094546311E-2</v>
      </c>
      <c r="C67" s="214" t="s">
        <v>108</v>
      </c>
      <c r="D67" s="136"/>
      <c r="E67" s="214" t="s">
        <v>108</v>
      </c>
      <c r="F67" s="284"/>
      <c r="G67" s="20"/>
      <c r="H67" s="20"/>
      <c r="I67" s="3"/>
      <c r="J67" s="12"/>
    </row>
    <row r="68" spans="1:10" s="55" customFormat="1" ht="13.5" customHeight="1" x14ac:dyDescent="0.2">
      <c r="A68" s="71" t="s">
        <v>92</v>
      </c>
      <c r="B68" s="218">
        <f t="shared" si="1"/>
        <v>0</v>
      </c>
      <c r="C68" s="214" t="s">
        <v>108</v>
      </c>
      <c r="D68" s="136"/>
      <c r="E68" s="214" t="s">
        <v>108</v>
      </c>
      <c r="F68" s="284"/>
      <c r="G68" s="20"/>
      <c r="H68" s="20"/>
      <c r="I68" s="54"/>
      <c r="J68" s="12"/>
    </row>
    <row r="69" spans="1:10" s="101" customFormat="1" ht="13.5" customHeight="1" x14ac:dyDescent="0.2">
      <c r="A69" s="71" t="s">
        <v>95</v>
      </c>
      <c r="B69" s="218">
        <f t="shared" si="1"/>
        <v>0</v>
      </c>
      <c r="C69" s="214" t="s">
        <v>108</v>
      </c>
      <c r="D69" s="136"/>
      <c r="E69" s="214" t="s">
        <v>108</v>
      </c>
      <c r="F69" s="284"/>
      <c r="G69" s="20"/>
      <c r="H69" s="20"/>
      <c r="I69" s="100"/>
      <c r="J69" s="12"/>
    </row>
    <row r="70" spans="1:10" s="58" customFormat="1" ht="13.5" customHeight="1" x14ac:dyDescent="0.2">
      <c r="A70" s="237" t="s">
        <v>97</v>
      </c>
      <c r="B70" s="218">
        <f t="shared" si="1"/>
        <v>0</v>
      </c>
      <c r="C70" s="214" t="s">
        <v>108</v>
      </c>
      <c r="D70" s="136"/>
      <c r="E70" s="214" t="s">
        <v>108</v>
      </c>
      <c r="F70" s="284"/>
      <c r="G70" s="20"/>
      <c r="H70" s="20"/>
      <c r="I70" s="57"/>
      <c r="J70" s="12"/>
    </row>
    <row r="71" spans="1:10" s="121" customFormat="1" ht="13.5" customHeight="1" x14ac:dyDescent="0.2">
      <c r="A71" s="71" t="s">
        <v>99</v>
      </c>
      <c r="B71" s="218">
        <f t="shared" si="1"/>
        <v>2.9800934469354903E-2</v>
      </c>
      <c r="C71" s="214" t="s">
        <v>108</v>
      </c>
      <c r="D71" s="136"/>
      <c r="E71" s="214" t="s">
        <v>108</v>
      </c>
      <c r="F71" s="284"/>
      <c r="G71" s="20"/>
      <c r="H71" s="20"/>
      <c r="I71" s="120"/>
      <c r="J71" s="12"/>
    </row>
    <row r="72" spans="1:10" s="229" customFormat="1" ht="13.5" customHeight="1" x14ac:dyDescent="0.2">
      <c r="A72" s="9" t="s">
        <v>141</v>
      </c>
      <c r="B72" s="218">
        <f t="shared" si="1"/>
        <v>0.28838980721661628</v>
      </c>
      <c r="C72" s="214" t="s">
        <v>108</v>
      </c>
      <c r="D72" s="136"/>
      <c r="E72" s="214" t="s">
        <v>108</v>
      </c>
      <c r="F72" s="284"/>
      <c r="G72" s="20"/>
      <c r="H72" s="20"/>
      <c r="I72" s="228"/>
      <c r="J72" s="12"/>
    </row>
    <row r="73" spans="1:10" ht="13.5" customHeight="1" x14ac:dyDescent="0.2">
      <c r="A73" s="71" t="s">
        <v>52</v>
      </c>
      <c r="B73" s="219">
        <f t="shared" si="1"/>
        <v>-1.1268601044406926E-2</v>
      </c>
      <c r="C73" s="214" t="s">
        <v>108</v>
      </c>
      <c r="D73" s="136"/>
      <c r="E73" s="214" t="s">
        <v>108</v>
      </c>
      <c r="F73" s="284"/>
      <c r="G73" s="20"/>
      <c r="H73" s="20"/>
      <c r="I73" s="3"/>
      <c r="J73" s="20"/>
    </row>
    <row r="74" spans="1:10" ht="13.5" customHeight="1" thickBot="1" x14ac:dyDescent="0.25">
      <c r="A74" s="131" t="s">
        <v>144</v>
      </c>
      <c r="B74" s="220">
        <f>SUM(B65:B73)</f>
        <v>1.6514978994071221</v>
      </c>
      <c r="C74" s="232" t="s">
        <v>108</v>
      </c>
      <c r="D74" s="139"/>
      <c r="E74" s="232" t="s">
        <v>108</v>
      </c>
      <c r="F74" s="285"/>
      <c r="G74" s="3"/>
      <c r="H74" s="12"/>
      <c r="I74" s="3"/>
      <c r="J74" s="12"/>
    </row>
    <row r="75" spans="1:10" ht="13.5" customHeight="1" thickTop="1" x14ac:dyDescent="0.2">
      <c r="A75" s="51"/>
      <c r="B75" s="146"/>
      <c r="C75" s="147"/>
      <c r="D75" s="69"/>
      <c r="E75" s="148"/>
      <c r="F75" s="149"/>
    </row>
    <row r="76" spans="1:10" ht="13.5" customHeight="1" x14ac:dyDescent="0.2">
      <c r="B76" s="39"/>
      <c r="C76" s="39"/>
      <c r="E76" s="47"/>
    </row>
    <row r="77" spans="1:10" ht="13.5" customHeight="1" x14ac:dyDescent="0.2">
      <c r="B77" s="41"/>
      <c r="C77" s="41"/>
    </row>
    <row r="78" spans="1:10" ht="13.5" customHeight="1" x14ac:dyDescent="0.2">
      <c r="B78" s="41"/>
      <c r="C78" s="41"/>
      <c r="E78" s="47"/>
      <c r="F78" s="47"/>
    </row>
    <row r="79" spans="1:10" ht="13.5" customHeight="1" x14ac:dyDescent="0.2">
      <c r="B79" s="41"/>
      <c r="C79" s="41"/>
    </row>
    <row r="80" spans="1:10" ht="13.5" customHeight="1" x14ac:dyDescent="0.2">
      <c r="B80" s="41"/>
      <c r="C80" s="41"/>
    </row>
  </sheetData>
  <mergeCells count="26">
    <mergeCell ref="A18:F18"/>
    <mergeCell ref="A20:F20"/>
    <mergeCell ref="A19:F19"/>
    <mergeCell ref="A15:F15"/>
    <mergeCell ref="A10:F10"/>
    <mergeCell ref="A1:F1"/>
    <mergeCell ref="A2:F2"/>
    <mergeCell ref="A3:F3"/>
    <mergeCell ref="A5:F5"/>
    <mergeCell ref="A6:F6"/>
    <mergeCell ref="A11:F11"/>
    <mergeCell ref="A12:F12"/>
    <mergeCell ref="H48:J48"/>
    <mergeCell ref="A39:C39"/>
    <mergeCell ref="A41:F41"/>
    <mergeCell ref="A42:F42"/>
    <mergeCell ref="A43:F43"/>
    <mergeCell ref="A44:F44"/>
    <mergeCell ref="A45:F45"/>
    <mergeCell ref="A46:F46"/>
    <mergeCell ref="A13:F13"/>
    <mergeCell ref="A14:F14"/>
    <mergeCell ref="C22:E22"/>
    <mergeCell ref="C48:E48"/>
    <mergeCell ref="A16:F16"/>
    <mergeCell ref="A17:F17"/>
  </mergeCells>
  <pageMargins left="0.7" right="0.7" top="0.75" bottom="0.75" header="0.3" footer="0.3"/>
  <pageSetup scale="64" orientation="portrait" r:id="rId1"/>
  <rowBreaks count="1" manualBreakCount="1">
    <brk id="74" max="7" man="1"/>
  </rowBreaks>
  <ignoredErrors>
    <ignoredError sqref="B73:B75 B61:B62 B64 G63 B66:B70 G65 C75:E75 C61:E62 C64:E64 C63:D63 C66:E66 C65:D65 D68:D70 D67 D73 G68:G70 G67 G73 D74 G74 G75 G61:G62 G64 G6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Statements of Operations</vt:lpstr>
      <vt:lpstr>Balance Sheet</vt:lpstr>
      <vt:lpstr>Statement of Cash Flows</vt:lpstr>
      <vt:lpstr>Debt Schedule</vt:lpstr>
      <vt:lpstr>Operational Performance</vt:lpstr>
      <vt:lpstr>Reconciliation page</vt:lpstr>
      <vt:lpstr>Sheet1</vt:lpstr>
      <vt:lpstr>'Reconciliation page'!Print_Area</vt:lpstr>
      <vt:lpstr>'Statements of Operations'!Print_Area</vt:lpstr>
      <vt:lpstr>'Operational Performance'!Print_Titles</vt:lpstr>
      <vt:lpstr>'Reconciliation page'!Print_Titles</vt:lpstr>
    </vt:vector>
  </TitlesOfParts>
  <Company>Arch Coal,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2017-02-07T23:29:16Z</cp:lastPrinted>
  <dcterms:created xsi:type="dcterms:W3CDTF">2015-01-20T16:57:13Z</dcterms:created>
  <dcterms:modified xsi:type="dcterms:W3CDTF">2017-02-08T00:23:13Z</dcterms:modified>
</cp:coreProperties>
</file>