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9\Q4-2019\"/>
    </mc:Choice>
  </mc:AlternateContent>
  <bookViews>
    <workbookView xWindow="240" yWindow="360" windowWidth="21075" windowHeight="9540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  <sheet name="MTNL Rec" sheetId="11" r:id="rId9"/>
  </sheets>
  <definedNames>
    <definedName name="OLE_LINK1" localSheetId="8">'MTNL Rec'!$A$5</definedName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Statement'!$A$1:$F$57</definedName>
    <definedName name="_xlnm.Print_Area" localSheetId="7">'Reconciliation page'!$A$5:$F$50</definedName>
    <definedName name="_xlnm.Print_Area" localSheetId="2">'Statement of Cash Flows'!$A$1:$C$57</definedName>
    <definedName name="_xlnm.Print_Titles" localSheetId="7">'Reconciliation page'!$1:$4</definedName>
  </definedNames>
  <calcPr calcId="162913" calcOnSave="0"/>
</workbook>
</file>

<file path=xl/calcChain.xml><?xml version="1.0" encoding="utf-8"?>
<calcChain xmlns="http://schemas.openxmlformats.org/spreadsheetml/2006/main">
  <c r="C37" i="11" l="1"/>
  <c r="D37" i="11"/>
  <c r="B37" i="11"/>
  <c r="C13" i="11"/>
  <c r="D31" i="11"/>
  <c r="D32" i="11"/>
  <c r="D29" i="11"/>
  <c r="B30" i="11"/>
  <c r="B33" i="11" s="1"/>
  <c r="C27" i="11"/>
  <c r="D27" i="11" s="1"/>
  <c r="C19" i="11"/>
  <c r="C34" i="11" s="1"/>
  <c r="C17" i="11"/>
  <c r="D17" i="11" s="1"/>
  <c r="D16" i="11"/>
  <c r="D15" i="11"/>
  <c r="D13" i="11"/>
  <c r="B19" i="11"/>
  <c r="D19" i="11" l="1"/>
  <c r="D34" i="11" s="1"/>
  <c r="C30" i="11"/>
  <c r="C33" i="11" s="1"/>
  <c r="C35" i="11" s="1"/>
  <c r="B34" i="11"/>
  <c r="B35" i="11" s="1"/>
  <c r="D30" i="11" l="1"/>
  <c r="D33" i="11"/>
  <c r="D35" i="11" s="1"/>
  <c r="C18" i="11" l="1"/>
  <c r="B18" i="11"/>
  <c r="B20" i="11" s="1"/>
  <c r="A11" i="11"/>
  <c r="A25" i="11" s="1"/>
  <c r="C20" i="11" l="1"/>
  <c r="D18" i="11"/>
  <c r="D20" i="11" s="1"/>
  <c r="B32" i="4"/>
  <c r="B26" i="4" l="1"/>
  <c r="B18" i="4"/>
  <c r="B25" i="4" l="1"/>
  <c r="B42" i="2"/>
  <c r="B33" i="2"/>
  <c r="B26" i="2"/>
  <c r="C45" i="4" l="1"/>
  <c r="C26" i="4"/>
  <c r="B30" i="3" l="1"/>
  <c r="C30" i="3"/>
  <c r="E30" i="3"/>
  <c r="F30" i="3"/>
  <c r="I21" i="1"/>
  <c r="F62" i="2" l="1"/>
  <c r="F61" i="2"/>
  <c r="F44" i="4"/>
  <c r="B30" i="4"/>
  <c r="E17" i="10" l="1"/>
  <c r="D26" i="9"/>
  <c r="C26" i="9"/>
  <c r="B26" i="9"/>
  <c r="B32" i="2" l="1"/>
  <c r="B19" i="2"/>
  <c r="E13" i="1"/>
  <c r="E23" i="1" l="1"/>
  <c r="I22" i="1"/>
  <c r="E33" i="4" l="1"/>
  <c r="E30" i="4"/>
  <c r="E26" i="4"/>
  <c r="E25" i="4"/>
  <c r="B35" i="2" l="1"/>
  <c r="H39" i="1"/>
  <c r="H31" i="1"/>
  <c r="H23" i="1"/>
  <c r="H24" i="1" s="1"/>
  <c r="H26" i="1" s="1"/>
  <c r="H33" i="1" s="1"/>
  <c r="H41" i="1" s="1"/>
  <c r="H44" i="1" s="1"/>
  <c r="H13" i="1"/>
  <c r="C30" i="10"/>
  <c r="F29" i="8"/>
  <c r="E27" i="8" l="1"/>
  <c r="E20" i="8"/>
  <c r="F49" i="3" l="1"/>
  <c r="E49" i="3"/>
  <c r="C49" i="3"/>
  <c r="B49" i="3"/>
  <c r="F39" i="3"/>
  <c r="E39" i="3"/>
  <c r="C39" i="3"/>
  <c r="B39" i="3"/>
  <c r="F20" i="4" l="1"/>
  <c r="F32" i="3" l="1"/>
  <c r="E32" i="3"/>
  <c r="C32" i="3"/>
  <c r="B32" i="3"/>
  <c r="C20" i="10"/>
  <c r="D20" i="10"/>
  <c r="E20" i="10"/>
  <c r="B20" i="10"/>
  <c r="B39" i="1" l="1"/>
  <c r="C46" i="10" l="1"/>
  <c r="D46" i="10"/>
  <c r="E46" i="10"/>
  <c r="B46" i="10"/>
  <c r="B33" i="10" l="1"/>
  <c r="C33" i="10"/>
  <c r="D33" i="10"/>
  <c r="E33" i="10"/>
  <c r="I19" i="1" l="1"/>
  <c r="B14" i="4" l="1"/>
  <c r="B13" i="4"/>
  <c r="B12" i="4"/>
  <c r="B29" i="3" l="1"/>
  <c r="C29" i="3"/>
  <c r="E29" i="3"/>
  <c r="F29" i="3"/>
  <c r="F31" i="3"/>
  <c r="E31" i="3"/>
  <c r="C31" i="3"/>
  <c r="B31" i="3"/>
  <c r="G26" i="8" l="1"/>
  <c r="G25" i="8"/>
  <c r="G19" i="8"/>
  <c r="G18" i="8"/>
  <c r="D20" i="8" l="1"/>
  <c r="E26" i="8"/>
  <c r="E25" i="8"/>
  <c r="E19" i="8"/>
  <c r="E18" i="8"/>
  <c r="E12" i="8"/>
  <c r="E11" i="8"/>
  <c r="C14" i="4"/>
  <c r="C13" i="4"/>
  <c r="C12" i="4"/>
  <c r="E13" i="8" l="1"/>
  <c r="C26" i="8"/>
  <c r="C25" i="8"/>
  <c r="C19" i="8"/>
  <c r="C18" i="8"/>
  <c r="C12" i="8"/>
  <c r="C11" i="8"/>
  <c r="C27" i="8" l="1"/>
  <c r="C20" i="8"/>
  <c r="C13" i="8"/>
  <c r="B20" i="8"/>
  <c r="G12" i="8"/>
  <c r="G11" i="8"/>
  <c r="I40" i="1" l="1"/>
  <c r="I42" i="1"/>
  <c r="I43" i="1"/>
  <c r="B37" i="10" l="1"/>
  <c r="C37" i="10"/>
  <c r="D37" i="10"/>
  <c r="I14" i="1" l="1"/>
  <c r="I15" i="1"/>
  <c r="I16" i="1"/>
  <c r="I17" i="1"/>
  <c r="I18" i="1"/>
  <c r="I25" i="1"/>
  <c r="I27" i="1"/>
  <c r="I28" i="1"/>
  <c r="I29" i="1"/>
  <c r="I30" i="1"/>
  <c r="I32" i="1"/>
  <c r="I34" i="1"/>
  <c r="I35" i="1"/>
  <c r="I36" i="1"/>
  <c r="I37" i="1"/>
  <c r="I38" i="1"/>
  <c r="I10" i="1"/>
  <c r="I23" i="1"/>
  <c r="I13" i="1"/>
  <c r="E49" i="9" l="1"/>
  <c r="D49" i="9"/>
  <c r="C49" i="9"/>
  <c r="B49" i="9"/>
  <c r="E37" i="9"/>
  <c r="D37" i="9"/>
  <c r="C37" i="9"/>
  <c r="B37" i="9"/>
  <c r="C25" i="9"/>
  <c r="D25" i="9"/>
  <c r="E25" i="9"/>
  <c r="B25" i="9"/>
  <c r="C50" i="10" l="1"/>
  <c r="D50" i="10"/>
  <c r="B50" i="10"/>
  <c r="C24" i="10"/>
  <c r="D24" i="10"/>
  <c r="B24" i="10"/>
  <c r="F45" i="4" l="1"/>
  <c r="F43" i="4"/>
  <c r="F42" i="4"/>
  <c r="F41" i="4"/>
  <c r="F40" i="4"/>
  <c r="F39" i="4"/>
  <c r="F35" i="4"/>
  <c r="F34" i="4"/>
  <c r="F33" i="4"/>
  <c r="F32" i="4"/>
  <c r="F31" i="4"/>
  <c r="F30" i="4"/>
  <c r="F26" i="4"/>
  <c r="F25" i="4"/>
  <c r="F24" i="4"/>
  <c r="F23" i="4"/>
  <c r="F22" i="4"/>
  <c r="F15" i="4"/>
  <c r="F16" i="4"/>
  <c r="F17" i="4"/>
  <c r="F18" i="4"/>
  <c r="F19" i="4"/>
  <c r="F57" i="4"/>
  <c r="E57" i="4"/>
  <c r="E46" i="4"/>
  <c r="E36" i="4"/>
  <c r="E27" i="4"/>
  <c r="F46" i="4" l="1"/>
  <c r="F36" i="4"/>
  <c r="E48" i="4"/>
  <c r="E51" i="4" s="1"/>
  <c r="F14" i="4"/>
  <c r="F13" i="4"/>
  <c r="F12" i="4"/>
  <c r="F35" i="3" l="1"/>
  <c r="E35" i="3"/>
  <c r="F34" i="3"/>
  <c r="E34" i="3"/>
  <c r="F33" i="3"/>
  <c r="E33" i="3"/>
  <c r="F28" i="3"/>
  <c r="E28" i="3"/>
  <c r="F27" i="3"/>
  <c r="E27" i="3"/>
  <c r="F26" i="3"/>
  <c r="E26" i="3"/>
  <c r="F24" i="3"/>
  <c r="E24" i="3"/>
  <c r="E39" i="1" l="1"/>
  <c r="I39" i="1" s="1"/>
  <c r="F39" i="1"/>
  <c r="F31" i="1"/>
  <c r="F25" i="3" s="1"/>
  <c r="E31" i="1"/>
  <c r="I31" i="1" s="1"/>
  <c r="F24" i="1"/>
  <c r="F26" i="1" s="1"/>
  <c r="E24" i="1"/>
  <c r="I24" i="1" s="1"/>
  <c r="E25" i="3" l="1"/>
  <c r="E26" i="1"/>
  <c r="I26" i="1" s="1"/>
  <c r="F33" i="1"/>
  <c r="F41" i="1" s="1"/>
  <c r="F44" i="1" s="1"/>
  <c r="C10" i="4" s="1"/>
  <c r="E33" i="1" l="1"/>
  <c r="I33" i="1" s="1"/>
  <c r="F48" i="1"/>
  <c r="F23" i="3"/>
  <c r="F47" i="1"/>
  <c r="E41" i="1" l="1"/>
  <c r="I41" i="1" s="1"/>
  <c r="F37" i="3"/>
  <c r="F56" i="1" l="1"/>
  <c r="F42" i="3"/>
  <c r="E44" i="1"/>
  <c r="B10" i="4" s="1"/>
  <c r="I44" i="1" l="1"/>
  <c r="F56" i="2"/>
  <c r="E23" i="3"/>
  <c r="E37" i="3" s="1"/>
  <c r="E47" i="1"/>
  <c r="E48" i="1"/>
  <c r="B33" i="3"/>
  <c r="E56" i="1" l="1"/>
  <c r="E42" i="3"/>
  <c r="E49" i="10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4" i="4" l="1"/>
  <c r="C33" i="3" l="1"/>
  <c r="B57" i="4"/>
  <c r="C57" i="4"/>
  <c r="C39" i="1"/>
  <c r="F27" i="8" l="1"/>
  <c r="F20" i="8"/>
  <c r="F13" i="8"/>
  <c r="D27" i="8"/>
  <c r="D13" i="8"/>
  <c r="F34" i="8" l="1"/>
  <c r="G27" i="8"/>
  <c r="D29" i="8"/>
  <c r="D34" i="8" s="1"/>
  <c r="G13" i="8"/>
  <c r="G20" i="8"/>
  <c r="C35" i="3" l="1"/>
  <c r="B35" i="3"/>
  <c r="C34" i="3"/>
  <c r="B34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2" i="5"/>
  <c r="D17" i="5" s="1"/>
  <c r="C12" i="5"/>
  <c r="C14" i="5" s="1"/>
  <c r="C46" i="4"/>
  <c r="C36" i="4"/>
  <c r="F57" i="2"/>
  <c r="F55" i="2"/>
  <c r="C51" i="2"/>
  <c r="B51" i="2"/>
  <c r="C35" i="2"/>
  <c r="C43" i="2" s="1"/>
  <c r="B43" i="2"/>
  <c r="C27" i="2"/>
  <c r="B27" i="2"/>
  <c r="C20" i="2"/>
  <c r="B20" i="2"/>
  <c r="C31" i="1"/>
  <c r="C25" i="3" s="1"/>
  <c r="B31" i="1"/>
  <c r="B25" i="3" s="1"/>
  <c r="C24" i="1"/>
  <c r="C26" i="1" s="1"/>
  <c r="B24" i="1"/>
  <c r="B26" i="1" s="1"/>
  <c r="D21" i="5" l="1"/>
  <c r="C28" i="2"/>
  <c r="B33" i="1"/>
  <c r="B41" i="1" s="1"/>
  <c r="B44" i="1" s="1"/>
  <c r="C33" i="1"/>
  <c r="C41" i="1" s="1"/>
  <c r="C44" i="1" s="1"/>
  <c r="C21" i="5"/>
  <c r="D14" i="5"/>
  <c r="D22" i="5"/>
  <c r="B46" i="4"/>
  <c r="B36" i="4"/>
  <c r="B52" i="2"/>
  <c r="B28" i="2"/>
  <c r="C52" i="2"/>
  <c r="B29" i="8"/>
  <c r="B34" i="8" s="1"/>
  <c r="C17" i="5"/>
  <c r="C22" i="5" s="1"/>
  <c r="F10" i="4" l="1"/>
  <c r="F27" i="4" s="1"/>
  <c r="F48" i="4" s="1"/>
  <c r="F51" i="4" s="1"/>
  <c r="B47" i="1"/>
  <c r="B48" i="1"/>
  <c r="F59" i="2"/>
  <c r="B23" i="3"/>
  <c r="C48" i="1"/>
  <c r="C27" i="4"/>
  <c r="C23" i="3"/>
  <c r="C47" i="1"/>
  <c r="B27" i="4" l="1"/>
  <c r="C48" i="4"/>
  <c r="C51" i="4" s="1"/>
  <c r="B37" i="3"/>
  <c r="C37" i="3"/>
  <c r="B48" i="4" l="1"/>
  <c r="B51" i="4" s="1"/>
  <c r="C56" i="1"/>
  <c r="C42" i="3"/>
  <c r="B56" i="1"/>
  <c r="B42" i="3"/>
</calcChain>
</file>

<file path=xl/sharedStrings.xml><?xml version="1.0" encoding="utf-8"?>
<sst xmlns="http://schemas.openxmlformats.org/spreadsheetml/2006/main" count="379" uniqueCount="218">
  <si>
    <t>Arch Coal, Inc. and Subsidiaries</t>
  </si>
  <si>
    <t>(In thousands, except per share data)</t>
  </si>
  <si>
    <t>(Unaudited)</t>
  </si>
  <si>
    <t>Revenues</t>
  </si>
  <si>
    <t>Costs, expenses and other operating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</si>
  <si>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</si>
  <si>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</si>
  <si>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</si>
  <si>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</si>
  <si>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</si>
  <si>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</si>
  <si>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</si>
  <si>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</si>
  <si>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</si>
  <si>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</si>
  <si>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</si>
  <si>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</si>
  <si>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</si>
  <si>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</si>
  <si>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</si>
  <si>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</si>
  <si>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</si>
  <si>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</si>
  <si>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</si>
  <si>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</si>
  <si>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</si>
  <si>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</si>
  <si>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</si>
  <si>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</si>
  <si>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</si>
  <si>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</si>
  <si>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</si>
  <si>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</si>
  <si>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</si>
  <si>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</si>
  <si>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</si>
  <si>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</si>
  <si>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</si>
  <si>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</si>
  <si>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</si>
  <si>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</si>
  <si>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</si>
  <si>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</si>
  <si>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</si>
  <si>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</si>
  <si>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</si>
  <si>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</si>
  <si>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</si>
  <si>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</si>
  <si>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</si>
  <si>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</si>
  <si>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</si>
  <si>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</si>
  <si>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</si>
  <si>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</si>
  <si>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</si>
  <si>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</si>
  <si>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</si>
  <si>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</si>
  <si>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</si>
  <si>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</si>
  <si>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</si>
  <si>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</si>
  <si>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</si>
  <si>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</si>
  <si>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</si>
  <si>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</si>
  <si>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</si>
  <si>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</si>
  <si>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</si>
  <si>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</si>
  <si>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</si>
  <si>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</si>
  <si>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</si>
  <si>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</si>
  <si>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</si>
  <si>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</si>
  <si>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</si>
  <si>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</si>
  <si>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</si>
  <si>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</si>
  <si>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</si>
  <si>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</si>
  <si>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</si>
  <si>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</si>
  <si>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</si>
  <si>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</si>
  <si>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</si>
  <si>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</si>
  <si>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</si>
  <si>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</si>
  <si>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</si>
  <si>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</si>
  <si>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</si>
  <si>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</si>
  <si>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</si>
  <si>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</si>
  <si>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</si>
  <si>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</si>
  <si>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</si>
  <si>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</si>
  <si>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</si>
  <si>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</si>
  <si>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</si>
  <si>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</si>
  <si>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</si>
  <si>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</si>
  <si>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</si>
  <si>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</si>
  <si>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Net income </t>
  </si>
  <si>
    <t xml:space="preserve">Basic EPS </t>
  </si>
  <si>
    <t xml:space="preserve">Diluted EPS 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</si>
  <si>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</si>
  <si>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</si>
  <si>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</si>
  <si>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</si>
  <si>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</si>
  <si>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</si>
  <si>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</si>
  <si>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</si>
  <si>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</si>
  <si>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</si>
  <si>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</si>
  <si>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</si>
  <si>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</si>
  <si>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</si>
  <si>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</si>
  <si>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</si>
  <si>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</si>
  <si>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</si>
  <si>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</si>
  <si>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</si>
  <si>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</si>
  <si>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</si>
  <si>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</si>
  <si>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Cash provided by operating activities</t>
  </si>
  <si>
    <t>Payments on term loan due 2024</t>
  </si>
  <si>
    <t>Cash used in financing activities</t>
  </si>
  <si>
    <t>Non-service related pension and postretirement benefit costs</t>
  </si>
  <si>
    <t>Cash and cash equivalents, including restricted cash, end of period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</si>
  <si>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</si>
  <si>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</si>
  <si>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</si>
  <si>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</si>
  <si>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</si>
  <si>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</si>
  <si>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</si>
  <si>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</si>
  <si>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</si>
  <si>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</si>
  <si>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</si>
  <si>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 xml:space="preserve">Three Months 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</si>
  <si>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</si>
  <si>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</si>
  <si>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</si>
  <si>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</si>
  <si>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</si>
  <si>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</si>
  <si>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</si>
  <si>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</si>
  <si>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</si>
  <si>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</si>
  <si>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</si>
  <si>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</si>
  <si>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</si>
  <si>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</si>
  <si>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</si>
  <si>
    <t>Provision for (benefit from) income taxes</t>
  </si>
  <si>
    <t>Nonoperating (expenses) income</t>
  </si>
  <si>
    <t>Cash used in investing activities</t>
  </si>
  <si>
    <t>Costs related to proposed joint venture with Peabody Energy</t>
  </si>
  <si>
    <t>Non-service related pension and postretirement benefit (costs) credits</t>
  </si>
  <si>
    <t xml:space="preserve">Adjusted EBITDA (A) </t>
  </si>
  <si>
    <t>Cash and cash equivalents, beginning of period</t>
  </si>
  <si>
    <t>Cash and cash equivalents, end of period</t>
  </si>
  <si>
    <t>Loss on sale of Lone Mountain Processing LLC</t>
  </si>
  <si>
    <t>Cost of sales (exclusive of items shown separately below)</t>
  </si>
  <si>
    <t>(In thousands, except per ton data)</t>
  </si>
  <si>
    <t>Three Months  Ended           September 30, 2019</t>
  </si>
  <si>
    <t>Quarter ended September 30, 2019</t>
  </si>
  <si>
    <t>Ended September 30, 2019</t>
  </si>
  <si>
    <t>Preference Rights Lease Application settlement income</t>
  </si>
  <si>
    <t>EBITDA from idled or otherwise disposed operations</t>
  </si>
  <si>
    <t>Segment Adjusted EBITDA from coal operations</t>
  </si>
  <si>
    <t xml:space="preserve">Segment Adjusted EBITDA </t>
  </si>
  <si>
    <t>Total Segment Adjusted EBITDA</t>
  </si>
  <si>
    <t xml:space="preserve">Three Months Ended December 31, </t>
  </si>
  <si>
    <t xml:space="preserve">Twelve Months Ended December 31, </t>
  </si>
  <si>
    <t>Twelve Months Ended December 31,</t>
  </si>
  <si>
    <t>Three Months  Ended           December 31, 2018</t>
  </si>
  <si>
    <t>Three Months  Ended           Decemnber 31, 2019</t>
  </si>
  <si>
    <t>Quarter ended December 31, 2019</t>
  </si>
  <si>
    <t>Quarter ended December 31, 2018</t>
  </si>
  <si>
    <t>9/30/2019 YTD</t>
  </si>
  <si>
    <t>Ended December 31, 2019</t>
  </si>
  <si>
    <t>Nine Months</t>
  </si>
  <si>
    <t>Loss on sale of Coal-Mac LLC</t>
  </si>
  <si>
    <t>Other operating (income) expense, net</t>
  </si>
  <si>
    <t>Income (loss) before income taxes</t>
  </si>
  <si>
    <t>Net income (loss)</t>
  </si>
  <si>
    <t>Net income (loss) per common share</t>
  </si>
  <si>
    <t>Three Months Ended December 31,</t>
  </si>
  <si>
    <t>Income (loss) before nonoperating expenses</t>
  </si>
  <si>
    <t>Payments for taxes related to net share settlement of equity awards</t>
  </si>
  <si>
    <t>Income (loss) from operations</t>
  </si>
  <si>
    <t>Term loan due 2024 ($291.8 million face value)</t>
  </si>
  <si>
    <t>Decrease in cash and cash equivalents</t>
  </si>
  <si>
    <t>Loss (Gain) on disposals and divestitures</t>
  </si>
  <si>
    <t>Condensed Consolidated Statements of Operations</t>
  </si>
  <si>
    <t xml:space="preserve">Mountain Laurel </t>
  </si>
  <si>
    <t>Metallurgical excluding Mountain Laurel</t>
  </si>
  <si>
    <t>During the fourth quarter 2019 earnings release, the Company discusses its' Metallurgical coal segment performance for the quarter ended December 31, 2019 excluding</t>
  </si>
  <si>
    <t xml:space="preserve">the impact of its' Mountain Laurel operation.  Management chose to display this metric as Mountain Laurel executed a major operational transition during the quarter from </t>
  </si>
  <si>
    <t>Coal sales per ton sold (a)</t>
  </si>
  <si>
    <t>Cash cost per ton sold (b)</t>
  </si>
  <si>
    <t>Cash margin per ton sold  (a)-(b)</t>
  </si>
  <si>
    <t>longwall mining to room-and-pillar mining.  Management believes this metric is more comparable to prior results and indicative of future results.  Below is the reconciliation</t>
  </si>
  <si>
    <t>of those amounts: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</si>
</sst>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#,##0_)%;\(#,##0\)%;&quot;—&quot;\%;_(@_)"/>
    <numFmt numFmtId="169" formatCode="_(#,##0_)_%;_(\(#,##0\)_%;_(&quot;—&quot;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#,##0.00;\(#,##0.00\)"/>
  </numFmts>
  <fonts count="27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278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0" fontId="0" fillId="0" borderId="0" xfId="0" applyFill="1" applyAlignment="1">
      <alignment wrapText="1"/>
    </xf>
    <xf numFmtId="165" fontId="14" fillId="0" borderId="5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43" fontId="4" fillId="0" borderId="0" xfId="1" applyFont="1" applyAlignment="1">
      <alignment wrapText="1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69" fontId="7" fillId="0" borderId="0" xfId="0" applyNumberFormat="1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164" fontId="14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1" fontId="7" fillId="0" borderId="0" xfId="25" applyNumberFormat="1" applyFont="1" applyFill="1" applyBorder="1" applyAlignment="1"/>
    <xf numFmtId="170" fontId="7" fillId="0" borderId="1" xfId="24" applyNumberFormat="1" applyFont="1" applyFill="1" applyBorder="1" applyAlignment="1"/>
    <xf numFmtId="170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1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0" fontId="7" fillId="0" borderId="0" xfId="1" applyNumberFormat="1" applyFont="1" applyFill="1" applyBorder="1" applyAlignment="1"/>
    <xf numFmtId="0" fontId="9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4" fontId="7" fillId="0" borderId="0" xfId="2" applyNumberFormat="1" applyFont="1" applyFill="1" applyBorder="1" applyAlignment="1">
      <alignment horizontal="right"/>
    </xf>
    <xf numFmtId="44" fontId="7" fillId="0" borderId="0" xfId="2" applyFont="1" applyFill="1" applyBorder="1" applyAlignment="1">
      <alignment horizontal="right"/>
    </xf>
    <xf numFmtId="43" fontId="7" fillId="0" borderId="0" xfId="1" applyFont="1" applyFill="1" applyBorder="1" applyAlignment="1"/>
    <xf numFmtId="170" fontId="7" fillId="0" borderId="0" xfId="1" applyNumberFormat="1" applyFont="1" applyFill="1" applyBorder="1"/>
    <xf numFmtId="0" fontId="0" fillId="0" borderId="0" xfId="0" applyAlignment="1">
      <alignment wrapText="1"/>
    </xf>
    <xf numFmtId="166" fontId="14" fillId="0" borderId="0" xfId="1" applyNumberFormat="1" applyFont="1" applyFill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164" fontId="7" fillId="0" borderId="4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0" fontId="26" fillId="0" borderId="0" xfId="0" applyNumberFormat="1" applyFont="1" applyFill="1" applyBorder="1" applyAlignment="1" applyProtection="1"/>
    <xf numFmtId="166" fontId="26" fillId="0" borderId="0" xfId="0" applyNumberFormat="1" applyFont="1" applyFill="1" applyBorder="1" applyAlignment="1" applyProtection="1"/>
    <xf numFmtId="171" fontId="26" fillId="0" borderId="0" xfId="0" applyNumberFormat="1" applyFont="1" applyFill="1" applyBorder="1" applyAlignment="1" applyProtection="1"/>
    <xf numFmtId="170" fontId="26" fillId="0" borderId="8" xfId="0" applyNumberFormat="1" applyFont="1" applyFill="1" applyBorder="1" applyAlignment="1" applyProtection="1"/>
    <xf numFmtId="164" fontId="22" fillId="0" borderId="0" xfId="31" applyNumberFormat="1"/>
    <xf numFmtId="0" fontId="7" fillId="0" borderId="0" xfId="0" applyFont="1" applyFill="1" applyAlignment="1"/>
    <xf numFmtId="0" fontId="9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9" fillId="0" borderId="3" xfId="0" applyFont="1" applyBorder="1" applyAlignment="1">
      <alignment horizontal="center" wrapText="1"/>
    </xf>
    <xf numFmtId="44" fontId="17" fillId="0" borderId="0" xfId="31" applyNumberFormat="1" applyFont="1"/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6"/>
  <sheetViews>
    <sheetView tabSelected="1" workbookViewId="0">
      <selection activeCell="G13" sqref="G13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50" customWidth="1"/>
    <col min="4" max="4" width="1" style="1" customWidth="1"/>
    <col min="5" max="6" width="17.83203125" style="1" customWidth="1"/>
    <col min="7" max="7" width="21.5" style="1" customWidth="1"/>
    <col min="8" max="9" width="21.5" style="1" hidden="1" customWidth="1"/>
    <col min="10" max="16384" width="21.5" style="1"/>
  </cols>
  <sheetData>
    <row r="1" spans="1:11" ht="13.5" customHeight="1" x14ac:dyDescent="0.25">
      <c r="A1" s="260" t="s">
        <v>0</v>
      </c>
      <c r="B1" s="260"/>
      <c r="C1" s="260"/>
      <c r="D1" s="260"/>
      <c r="E1" s="260"/>
      <c r="F1" s="260"/>
    </row>
    <row r="2" spans="1:11" ht="13.5" customHeight="1" x14ac:dyDescent="0.25">
      <c r="A2" s="260" t="s">
        <v>208</v>
      </c>
      <c r="B2" s="260"/>
      <c r="C2" s="260"/>
      <c r="D2" s="260"/>
      <c r="E2" s="260"/>
      <c r="F2" s="260"/>
    </row>
    <row r="3" spans="1:11" ht="13.5" customHeight="1" x14ac:dyDescent="0.25">
      <c r="A3" s="260" t="s">
        <v>1</v>
      </c>
      <c r="B3" s="260"/>
      <c r="C3" s="260"/>
      <c r="D3" s="260"/>
      <c r="E3" s="260"/>
      <c r="F3" s="260"/>
    </row>
    <row r="4" spans="1:11" ht="13.5" customHeight="1" x14ac:dyDescent="0.2">
      <c r="A4" s="13"/>
      <c r="B4" s="13"/>
      <c r="C4" s="233"/>
      <c r="D4" s="233"/>
      <c r="E4" s="233"/>
      <c r="F4" s="233"/>
    </row>
    <row r="5" spans="1:11" s="87" customFormat="1" ht="13.5" customHeight="1" x14ac:dyDescent="0.2">
      <c r="A5" s="13"/>
      <c r="B5" s="13"/>
      <c r="C5" s="150"/>
    </row>
    <row r="6" spans="1:11" ht="13.5" customHeight="1" x14ac:dyDescent="0.2">
      <c r="A6" s="3"/>
      <c r="B6" s="262" t="s">
        <v>186</v>
      </c>
      <c r="C6" s="262"/>
      <c r="E6" s="262" t="s">
        <v>187</v>
      </c>
      <c r="F6" s="262"/>
      <c r="H6" s="219" t="s">
        <v>193</v>
      </c>
    </row>
    <row r="7" spans="1:11" ht="12.75" x14ac:dyDescent="0.2">
      <c r="A7" s="3"/>
      <c r="B7" s="102">
        <v>2019</v>
      </c>
      <c r="C7" s="152">
        <v>2018</v>
      </c>
      <c r="E7" s="209">
        <v>2019</v>
      </c>
      <c r="F7" s="152">
        <v>2018</v>
      </c>
    </row>
    <row r="8" spans="1:11" ht="13.5" customHeight="1" x14ac:dyDescent="0.2">
      <c r="A8" s="3"/>
      <c r="B8" s="263" t="s">
        <v>2</v>
      </c>
      <c r="C8" s="263"/>
      <c r="D8" s="223"/>
      <c r="E8" s="258" t="s">
        <v>2</v>
      </c>
      <c r="F8" s="255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1" t="s">
        <v>3</v>
      </c>
      <c r="B10" s="145">
        <v>549480</v>
      </c>
      <c r="C10" s="145">
        <v>650963</v>
      </c>
      <c r="E10" s="145">
        <v>2294352</v>
      </c>
      <c r="F10" s="145">
        <v>2451787</v>
      </c>
      <c r="H10" s="145">
        <v>1744872</v>
      </c>
      <c r="I10" s="220">
        <f>E10-H10</f>
        <v>549480</v>
      </c>
      <c r="J10" s="220"/>
      <c r="K10" s="220"/>
    </row>
    <row r="11" spans="1:11" ht="13.5" customHeight="1" x14ac:dyDescent="0.2">
      <c r="A11" s="17"/>
      <c r="B11" s="146"/>
      <c r="C11" s="146"/>
      <c r="E11" s="146"/>
      <c r="F11" s="146"/>
      <c r="H11" s="146"/>
      <c r="I11" s="220"/>
    </row>
    <row r="12" spans="1:11" ht="13.5" customHeight="1" x14ac:dyDescent="0.2">
      <c r="A12" s="41" t="s">
        <v>4</v>
      </c>
      <c r="B12" s="146"/>
      <c r="C12" s="146"/>
      <c r="E12" s="146"/>
      <c r="F12" s="146"/>
      <c r="H12" s="146"/>
      <c r="I12" s="220"/>
    </row>
    <row r="13" spans="1:11" ht="13.5" customHeight="1" x14ac:dyDescent="0.2">
      <c r="A13" s="42" t="s">
        <v>176</v>
      </c>
      <c r="B13" s="49">
        <v>492454</v>
      </c>
      <c r="C13" s="49">
        <v>514005</v>
      </c>
      <c r="D13" s="32"/>
      <c r="E13" s="49">
        <f>1893565-20548</f>
        <v>1873017</v>
      </c>
      <c r="F13" s="49">
        <v>1925202</v>
      </c>
      <c r="H13" s="49">
        <f>1395974-15411</f>
        <v>1380563</v>
      </c>
      <c r="I13" s="49">
        <f t="shared" ref="I13:I44" si="0">E13-H13</f>
        <v>492454</v>
      </c>
    </row>
    <row r="14" spans="1:11" ht="13.5" customHeight="1" x14ac:dyDescent="0.2">
      <c r="A14" s="42" t="s">
        <v>5</v>
      </c>
      <c r="B14" s="49">
        <v>29856</v>
      </c>
      <c r="C14" s="49">
        <v>27536</v>
      </c>
      <c r="E14" s="49">
        <v>112055</v>
      </c>
      <c r="F14" s="49">
        <v>119563</v>
      </c>
      <c r="H14" s="49">
        <v>82199</v>
      </c>
      <c r="I14" s="49">
        <f t="shared" si="0"/>
        <v>29856</v>
      </c>
    </row>
    <row r="15" spans="1:11" s="87" customFormat="1" ht="13.5" customHeight="1" x14ac:dyDescent="0.2">
      <c r="A15" s="42" t="s">
        <v>78</v>
      </c>
      <c r="B15" s="49">
        <v>5137</v>
      </c>
      <c r="C15" s="49">
        <v>6993</v>
      </c>
      <c r="E15" s="49">
        <v>20548</v>
      </c>
      <c r="F15" s="49">
        <v>27970</v>
      </c>
      <c r="H15" s="49">
        <v>15411</v>
      </c>
      <c r="I15" s="49">
        <f t="shared" si="0"/>
        <v>5137</v>
      </c>
    </row>
    <row r="16" spans="1:11" ht="13.5" customHeight="1" x14ac:dyDescent="0.2">
      <c r="A16" s="42" t="s">
        <v>80</v>
      </c>
      <c r="B16" s="49">
        <v>-357</v>
      </c>
      <c r="C16" s="49">
        <v>1567</v>
      </c>
      <c r="E16" s="49">
        <v>-434</v>
      </c>
      <c r="F16" s="49">
        <v>11107</v>
      </c>
      <c r="H16" s="49">
        <v>-77</v>
      </c>
      <c r="I16" s="49">
        <f t="shared" si="0"/>
        <v>-357</v>
      </c>
    </row>
    <row r="17" spans="1:10" ht="13.5" customHeight="1" x14ac:dyDescent="0.2">
      <c r="A17" s="42" t="s">
        <v>6</v>
      </c>
      <c r="B17" s="49">
        <v>1250</v>
      </c>
      <c r="C17" s="49">
        <v>-13024</v>
      </c>
      <c r="E17" s="49">
        <v>-18601</v>
      </c>
      <c r="F17" s="49">
        <v>9118</v>
      </c>
      <c r="G17" s="32"/>
      <c r="H17" s="49">
        <v>-19851</v>
      </c>
      <c r="I17" s="49">
        <f t="shared" si="0"/>
        <v>1250</v>
      </c>
    </row>
    <row r="18" spans="1:10" ht="13.5" customHeight="1" x14ac:dyDescent="0.2">
      <c r="A18" s="42" t="s">
        <v>7</v>
      </c>
      <c r="B18" s="49">
        <v>21917</v>
      </c>
      <c r="C18" s="49">
        <v>26687</v>
      </c>
      <c r="E18" s="49">
        <v>95781</v>
      </c>
      <c r="F18" s="49">
        <v>100300</v>
      </c>
      <c r="H18" s="49">
        <v>73864</v>
      </c>
      <c r="I18" s="49">
        <f t="shared" si="0"/>
        <v>21917</v>
      </c>
    </row>
    <row r="19" spans="1:10" s="228" customFormat="1" ht="13.5" customHeight="1" x14ac:dyDescent="0.2">
      <c r="A19" s="42" t="s">
        <v>170</v>
      </c>
      <c r="B19" s="49">
        <v>7044</v>
      </c>
      <c r="C19" s="49">
        <v>0</v>
      </c>
      <c r="E19" s="49">
        <v>13816</v>
      </c>
      <c r="F19" s="49">
        <v>0</v>
      </c>
      <c r="H19" s="49">
        <v>6772</v>
      </c>
      <c r="I19" s="49">
        <f t="shared" si="0"/>
        <v>7044</v>
      </c>
    </row>
    <row r="20" spans="1:10" s="254" customFormat="1" ht="13.5" customHeight="1" x14ac:dyDescent="0.2">
      <c r="A20" s="42" t="s">
        <v>196</v>
      </c>
      <c r="B20" s="49">
        <v>9008</v>
      </c>
      <c r="C20" s="49">
        <v>0</v>
      </c>
      <c r="E20" s="49">
        <v>9008</v>
      </c>
      <c r="F20" s="49">
        <v>0</v>
      </c>
      <c r="H20" s="49"/>
      <c r="I20" s="49"/>
    </row>
    <row r="21" spans="1:10" s="228" customFormat="1" ht="13.5" customHeight="1" x14ac:dyDescent="0.2">
      <c r="A21" s="42" t="s">
        <v>175</v>
      </c>
      <c r="B21" s="49">
        <v>0</v>
      </c>
      <c r="C21" s="49">
        <v>0</v>
      </c>
      <c r="E21" s="49">
        <v>4304</v>
      </c>
      <c r="F21" s="49">
        <v>0</v>
      </c>
      <c r="H21" s="49">
        <v>4304</v>
      </c>
      <c r="I21" s="49">
        <f t="shared" si="0"/>
        <v>0</v>
      </c>
    </row>
    <row r="22" spans="1:10" s="236" customFormat="1" ht="13.5" customHeight="1" x14ac:dyDescent="0.2">
      <c r="A22" s="42" t="s">
        <v>181</v>
      </c>
      <c r="B22" s="49">
        <v>0</v>
      </c>
      <c r="C22" s="49">
        <v>0</v>
      </c>
      <c r="E22" s="49">
        <v>-39000</v>
      </c>
      <c r="F22" s="49">
        <v>0</v>
      </c>
      <c r="H22" s="49">
        <v>-39000</v>
      </c>
      <c r="I22" s="49">
        <f t="shared" si="0"/>
        <v>0</v>
      </c>
    </row>
    <row r="23" spans="1:10" ht="13.5" customHeight="1" x14ac:dyDescent="0.2">
      <c r="A23" s="42" t="s">
        <v>197</v>
      </c>
      <c r="B23" s="43">
        <v>-9869</v>
      </c>
      <c r="C23" s="43">
        <v>709</v>
      </c>
      <c r="E23" s="43">
        <f>7980-52680+39000-4304-9008</f>
        <v>-19012</v>
      </c>
      <c r="F23" s="43">
        <v>-20611</v>
      </c>
      <c r="H23" s="43">
        <f>9529-53368-4304+39000</f>
        <v>-9143</v>
      </c>
      <c r="I23" s="43">
        <f t="shared" si="0"/>
        <v>-9869</v>
      </c>
    </row>
    <row r="24" spans="1:10" ht="13.5" customHeight="1" x14ac:dyDescent="0.2">
      <c r="A24" s="44"/>
      <c r="B24" s="43">
        <f>SUM(B13:B23)</f>
        <v>556440</v>
      </c>
      <c r="C24" s="43">
        <f>SUM(C13:C23)</f>
        <v>564473</v>
      </c>
      <c r="D24" s="32"/>
      <c r="E24" s="43">
        <f>SUM(E13:E23)</f>
        <v>2051482</v>
      </c>
      <c r="F24" s="43">
        <f>SUM(F13:F23)</f>
        <v>2172649</v>
      </c>
      <c r="H24" s="43">
        <f>SUM(H13:H23)</f>
        <v>1495042</v>
      </c>
      <c r="I24" s="43">
        <f t="shared" si="0"/>
        <v>556440</v>
      </c>
    </row>
    <row r="25" spans="1:10" ht="13.5" customHeight="1" x14ac:dyDescent="0.2">
      <c r="A25" s="17"/>
      <c r="B25" s="49"/>
      <c r="C25" s="49"/>
      <c r="E25" s="49"/>
      <c r="F25" s="49"/>
      <c r="H25" s="49"/>
      <c r="I25" s="49">
        <f t="shared" si="0"/>
        <v>0</v>
      </c>
    </row>
    <row r="26" spans="1:10" ht="13.5" customHeight="1" x14ac:dyDescent="0.2">
      <c r="A26" s="46" t="s">
        <v>204</v>
      </c>
      <c r="B26" s="49">
        <f>+B10-B24</f>
        <v>-6960</v>
      </c>
      <c r="C26" s="49">
        <f>+C10-C24</f>
        <v>86490</v>
      </c>
      <c r="D26" s="32"/>
      <c r="E26" s="49">
        <f>+E10-E24</f>
        <v>242870</v>
      </c>
      <c r="F26" s="49">
        <f>+F10-F24</f>
        <v>279138</v>
      </c>
      <c r="H26" s="49">
        <f>+H10-H24</f>
        <v>249830</v>
      </c>
      <c r="I26" s="49">
        <f t="shared" si="0"/>
        <v>-6960</v>
      </c>
    </row>
    <row r="27" spans="1:10" ht="13.5" customHeight="1" x14ac:dyDescent="0.2">
      <c r="A27" s="17"/>
      <c r="B27" s="49"/>
      <c r="C27" s="49"/>
      <c r="E27" s="49"/>
      <c r="F27" s="49"/>
      <c r="H27" s="49"/>
      <c r="I27" s="49">
        <f t="shared" si="0"/>
        <v>0</v>
      </c>
    </row>
    <row r="28" spans="1:10" ht="13.5" customHeight="1" x14ac:dyDescent="0.2">
      <c r="A28" s="41" t="s">
        <v>8</v>
      </c>
      <c r="B28" s="49"/>
      <c r="C28" s="49"/>
      <c r="E28" s="49"/>
      <c r="F28" s="49"/>
      <c r="H28" s="49"/>
      <c r="I28" s="49">
        <f t="shared" si="0"/>
        <v>0</v>
      </c>
    </row>
    <row r="29" spans="1:10" ht="13.5" customHeight="1" x14ac:dyDescent="0.2">
      <c r="A29" s="42" t="s">
        <v>9</v>
      </c>
      <c r="B29" s="49">
        <v>-3629</v>
      </c>
      <c r="C29" s="49">
        <v>-4847</v>
      </c>
      <c r="E29" s="49">
        <v>-16485</v>
      </c>
      <c r="F29" s="49">
        <v>-20471</v>
      </c>
      <c r="H29" s="49">
        <v>-12856</v>
      </c>
      <c r="I29" s="49">
        <f t="shared" si="0"/>
        <v>-3629</v>
      </c>
    </row>
    <row r="30" spans="1:10" ht="13.5" customHeight="1" x14ac:dyDescent="0.2">
      <c r="A30" s="42" t="s">
        <v>10</v>
      </c>
      <c r="B30" s="49">
        <v>1751</v>
      </c>
      <c r="C30" s="49">
        <v>2156</v>
      </c>
      <c r="E30" s="49">
        <v>9691</v>
      </c>
      <c r="F30" s="49">
        <v>6782</v>
      </c>
      <c r="H30" s="49">
        <v>7940</v>
      </c>
      <c r="I30" s="49">
        <f t="shared" si="0"/>
        <v>1751</v>
      </c>
      <c r="J30" s="32"/>
    </row>
    <row r="31" spans="1:10" ht="13.5" customHeight="1" x14ac:dyDescent="0.2">
      <c r="A31" s="17"/>
      <c r="B31" s="45">
        <f>SUM(B29:B30)</f>
        <v>-1878</v>
      </c>
      <c r="C31" s="45">
        <f>SUM(C29:C30)</f>
        <v>-2691</v>
      </c>
      <c r="E31" s="45">
        <f>SUM(E29:E30)</f>
        <v>-6794</v>
      </c>
      <c r="F31" s="45">
        <f>SUM(F29:F30)</f>
        <v>-13689</v>
      </c>
      <c r="H31" s="45">
        <f>SUM(H29:H30)</f>
        <v>-4916</v>
      </c>
      <c r="I31" s="45">
        <f t="shared" si="0"/>
        <v>-1878</v>
      </c>
    </row>
    <row r="32" spans="1:10" ht="13.5" customHeight="1" x14ac:dyDescent="0.2">
      <c r="A32" s="17"/>
      <c r="B32" s="49"/>
      <c r="C32" s="49"/>
      <c r="E32" s="49"/>
      <c r="F32" s="49"/>
      <c r="H32" s="49"/>
      <c r="I32" s="49">
        <f t="shared" si="0"/>
        <v>0</v>
      </c>
    </row>
    <row r="33" spans="1:11" s="87" customFormat="1" ht="13.5" customHeight="1" x14ac:dyDescent="0.2">
      <c r="A33" s="85" t="s">
        <v>202</v>
      </c>
      <c r="B33" s="49">
        <f>B26+B31</f>
        <v>-8838</v>
      </c>
      <c r="C33" s="49">
        <f>C26+C31</f>
        <v>83799</v>
      </c>
      <c r="D33" s="32"/>
      <c r="E33" s="49">
        <f>E26+E31</f>
        <v>236076</v>
      </c>
      <c r="F33" s="49">
        <f>F26+F31</f>
        <v>265449</v>
      </c>
      <c r="H33" s="49">
        <f>H26+H31</f>
        <v>244914</v>
      </c>
      <c r="I33" s="49">
        <f t="shared" si="0"/>
        <v>-8838</v>
      </c>
    </row>
    <row r="34" spans="1:11" s="87" customFormat="1" ht="13.5" customHeight="1" x14ac:dyDescent="0.2">
      <c r="A34" s="85"/>
      <c r="B34" s="49"/>
      <c r="C34" s="49"/>
      <c r="E34" s="49"/>
      <c r="F34" s="49"/>
      <c r="H34" s="49"/>
      <c r="I34" s="49">
        <f t="shared" si="0"/>
        <v>0</v>
      </c>
    </row>
    <row r="35" spans="1:11" s="38" customFormat="1" ht="13.5" customHeight="1" x14ac:dyDescent="0.2">
      <c r="A35" s="47" t="s">
        <v>168</v>
      </c>
      <c r="B35" s="49"/>
      <c r="C35" s="49"/>
      <c r="E35" s="49"/>
      <c r="F35" s="49"/>
      <c r="H35" s="49"/>
      <c r="I35" s="49">
        <f t="shared" si="0"/>
        <v>0</v>
      </c>
    </row>
    <row r="36" spans="1:11" s="189" customFormat="1" ht="13.5" customHeight="1" x14ac:dyDescent="0.2">
      <c r="A36" s="42" t="s">
        <v>171</v>
      </c>
      <c r="B36" s="49">
        <v>74</v>
      </c>
      <c r="C36" s="49">
        <v>-996</v>
      </c>
      <c r="E36" s="49">
        <v>-2053</v>
      </c>
      <c r="F36" s="49">
        <v>-3202</v>
      </c>
      <c r="G36" s="32"/>
      <c r="H36" s="49">
        <v>-2127</v>
      </c>
      <c r="I36" s="49">
        <f t="shared" si="0"/>
        <v>74</v>
      </c>
      <c r="K36" s="32"/>
    </row>
    <row r="37" spans="1:11" s="38" customFormat="1" ht="13.5" customHeight="1" x14ac:dyDescent="0.2">
      <c r="A37" s="42" t="s">
        <v>71</v>
      </c>
      <c r="B37" s="49">
        <v>0</v>
      </c>
      <c r="C37" s="49">
        <v>0</v>
      </c>
      <c r="E37" s="49">
        <v>0</v>
      </c>
      <c r="F37" s="49">
        <v>-485</v>
      </c>
      <c r="H37" s="49">
        <v>0</v>
      </c>
      <c r="I37" s="49">
        <f t="shared" si="0"/>
        <v>0</v>
      </c>
    </row>
    <row r="38" spans="1:11" s="73" customFormat="1" ht="13.5" customHeight="1" x14ac:dyDescent="0.2">
      <c r="A38" s="42" t="s">
        <v>72</v>
      </c>
      <c r="B38" s="43">
        <v>-47</v>
      </c>
      <c r="C38" s="43">
        <v>-60</v>
      </c>
      <c r="E38" s="43">
        <v>24</v>
      </c>
      <c r="F38" s="43">
        <v>-1661</v>
      </c>
      <c r="H38" s="43">
        <v>71</v>
      </c>
      <c r="I38" s="43">
        <f t="shared" si="0"/>
        <v>-47</v>
      </c>
    </row>
    <row r="39" spans="1:11" s="65" customFormat="1" ht="13.5" customHeight="1" x14ac:dyDescent="0.2">
      <c r="A39" s="42"/>
      <c r="B39" s="45">
        <f>SUM(B36:B38)</f>
        <v>27</v>
      </c>
      <c r="C39" s="45">
        <f>SUM(C36:C38)</f>
        <v>-1056</v>
      </c>
      <c r="E39" s="45">
        <f>SUM(E36:E38)</f>
        <v>-2029</v>
      </c>
      <c r="F39" s="45">
        <f>SUM(F36:F38)</f>
        <v>-5348</v>
      </c>
      <c r="H39" s="45">
        <f>SUM(H36:H38)</f>
        <v>-2056</v>
      </c>
      <c r="I39" s="45">
        <f t="shared" si="0"/>
        <v>27</v>
      </c>
    </row>
    <row r="40" spans="1:11" s="38" customFormat="1" ht="13.5" customHeight="1" x14ac:dyDescent="0.2">
      <c r="A40" s="17"/>
      <c r="B40" s="49"/>
      <c r="C40" s="49"/>
      <c r="E40" s="49"/>
      <c r="F40" s="49"/>
      <c r="H40" s="49"/>
      <c r="I40" s="49">
        <f t="shared" si="0"/>
        <v>0</v>
      </c>
    </row>
    <row r="41" spans="1:11" ht="13.5" customHeight="1" x14ac:dyDescent="0.2">
      <c r="A41" s="48" t="s">
        <v>198</v>
      </c>
      <c r="B41" s="49">
        <f>B33+B39</f>
        <v>-8811</v>
      </c>
      <c r="C41" s="49">
        <f>C33+C39</f>
        <v>82743</v>
      </c>
      <c r="D41" s="32"/>
      <c r="E41" s="49">
        <f>E33+E39</f>
        <v>234047</v>
      </c>
      <c r="F41" s="49">
        <f>F33+F39</f>
        <v>260101</v>
      </c>
      <c r="H41" s="49">
        <f>H33+H39</f>
        <v>242858</v>
      </c>
      <c r="I41" s="49">
        <f t="shared" si="0"/>
        <v>-8811</v>
      </c>
    </row>
    <row r="42" spans="1:11" ht="13.5" customHeight="1" x14ac:dyDescent="0.2">
      <c r="A42" s="48" t="s">
        <v>167</v>
      </c>
      <c r="B42" s="43">
        <v>-260</v>
      </c>
      <c r="C42" s="43">
        <v>-3351</v>
      </c>
      <c r="E42" s="43">
        <v>248</v>
      </c>
      <c r="F42" s="43">
        <v>-52476</v>
      </c>
      <c r="H42" s="43">
        <v>508</v>
      </c>
      <c r="I42" s="43">
        <f t="shared" si="0"/>
        <v>-260</v>
      </c>
    </row>
    <row r="43" spans="1:11" s="21" customFormat="1" ht="13.5" customHeight="1" x14ac:dyDescent="0.2">
      <c r="A43" s="48"/>
      <c r="B43" s="49"/>
      <c r="C43" s="49"/>
      <c r="E43" s="49"/>
      <c r="F43" s="49"/>
      <c r="H43" s="49"/>
      <c r="I43" s="49">
        <f t="shared" si="0"/>
        <v>0</v>
      </c>
    </row>
    <row r="44" spans="1:11" ht="13.5" customHeight="1" thickBot="1" x14ac:dyDescent="0.25">
      <c r="A44" s="50" t="s">
        <v>199</v>
      </c>
      <c r="B44" s="51">
        <f>B41-B42</f>
        <v>-8551</v>
      </c>
      <c r="C44" s="51">
        <f>C41-C42</f>
        <v>86094</v>
      </c>
      <c r="D44" s="32"/>
      <c r="E44" s="51">
        <f>E41-E42</f>
        <v>233799</v>
      </c>
      <c r="F44" s="51">
        <f>F41-F42</f>
        <v>312577</v>
      </c>
      <c r="H44" s="51">
        <f>H41-H42</f>
        <v>242350</v>
      </c>
      <c r="I44" s="51">
        <f t="shared" si="0"/>
        <v>-8551</v>
      </c>
    </row>
    <row r="45" spans="1:11" ht="13.5" customHeight="1" thickTop="1" x14ac:dyDescent="0.2">
      <c r="A45" s="47"/>
      <c r="B45" s="224"/>
      <c r="C45" s="224"/>
      <c r="H45" s="217"/>
      <c r="I45" s="218"/>
    </row>
    <row r="46" spans="1:11" ht="13.5" customHeight="1" x14ac:dyDescent="0.2">
      <c r="A46" s="41" t="s">
        <v>200</v>
      </c>
      <c r="B46" s="224"/>
      <c r="C46" s="224"/>
      <c r="H46" s="217"/>
      <c r="I46" s="218"/>
    </row>
    <row r="47" spans="1:11" ht="13.5" customHeight="1" thickBot="1" x14ac:dyDescent="0.25">
      <c r="A47" s="66" t="s">
        <v>110</v>
      </c>
      <c r="B47" s="147">
        <f>ROUND(B44/B51,2)</f>
        <v>-0.56999999999999995</v>
      </c>
      <c r="C47" s="147">
        <f>ROUND(C44/C51,2)</f>
        <v>4.6900000000000004</v>
      </c>
      <c r="E47" s="147">
        <f>ROUND(E44/E51,2)</f>
        <v>14.42</v>
      </c>
      <c r="F47" s="147">
        <f>ROUND(F44/F51,2)</f>
        <v>15.9</v>
      </c>
      <c r="H47" s="229"/>
      <c r="I47" s="229"/>
    </row>
    <row r="48" spans="1:11" s="94" customFormat="1" ht="13.5" customHeight="1" thickTop="1" thickBot="1" x14ac:dyDescent="0.25">
      <c r="A48" s="93" t="s">
        <v>111</v>
      </c>
      <c r="B48" s="147">
        <f>ROUND(B44/B52,2)</f>
        <v>-0.56999999999999995</v>
      </c>
      <c r="C48" s="147">
        <f>ROUND(C44/C52,2)</f>
        <v>4.4400000000000004</v>
      </c>
      <c r="E48" s="126">
        <f>ROUND(E44/E52,2)</f>
        <v>13.52</v>
      </c>
      <c r="F48" s="126">
        <f>ROUND(F44/F52,2)</f>
        <v>15.15</v>
      </c>
      <c r="H48" s="230"/>
      <c r="I48" s="230"/>
    </row>
    <row r="49" spans="1:9" ht="13.5" customHeight="1" thickTop="1" x14ac:dyDescent="0.2">
      <c r="A49" s="67"/>
      <c r="B49" s="146"/>
      <c r="C49" s="146"/>
      <c r="E49" s="146"/>
      <c r="F49" s="146"/>
      <c r="H49" s="146"/>
      <c r="I49" s="146"/>
    </row>
    <row r="50" spans="1:9" s="125" customFormat="1" ht="13.5" customHeight="1" x14ac:dyDescent="0.2">
      <c r="A50" s="47" t="s">
        <v>102</v>
      </c>
      <c r="B50" s="146"/>
      <c r="C50" s="146"/>
      <c r="E50" s="146"/>
      <c r="F50" s="146"/>
      <c r="H50" s="146"/>
      <c r="I50" s="146"/>
    </row>
    <row r="51" spans="1:9" ht="13.5" customHeight="1" thickBot="1" x14ac:dyDescent="0.25">
      <c r="A51" s="66" t="s">
        <v>79</v>
      </c>
      <c r="B51" s="148">
        <v>15097</v>
      </c>
      <c r="C51" s="148">
        <v>18344</v>
      </c>
      <c r="E51" s="148">
        <v>16218</v>
      </c>
      <c r="F51" s="148">
        <v>19663</v>
      </c>
      <c r="H51" s="49"/>
      <c r="I51" s="49"/>
    </row>
    <row r="52" spans="1:9" s="94" customFormat="1" ht="13.5" customHeight="1" thickTop="1" thickBot="1" x14ac:dyDescent="0.25">
      <c r="A52" s="93" t="s">
        <v>11</v>
      </c>
      <c r="B52" s="148">
        <v>15097</v>
      </c>
      <c r="C52" s="148">
        <v>19396</v>
      </c>
      <c r="E52" s="148">
        <v>17298</v>
      </c>
      <c r="F52" s="148">
        <v>20629</v>
      </c>
      <c r="H52" s="49"/>
      <c r="I52" s="49"/>
    </row>
    <row r="53" spans="1:9" ht="13.5" customHeight="1" thickTop="1" x14ac:dyDescent="0.2">
      <c r="A53" s="67"/>
      <c r="B53" s="146"/>
      <c r="C53" s="146"/>
      <c r="E53" s="146"/>
      <c r="F53" s="146"/>
      <c r="H53" s="146"/>
      <c r="I53" s="146"/>
    </row>
    <row r="54" spans="1:9" s="125" customFormat="1" ht="13.5" customHeight="1" thickBot="1" x14ac:dyDescent="0.25">
      <c r="A54" s="124" t="s">
        <v>103</v>
      </c>
      <c r="B54" s="147">
        <v>0.45</v>
      </c>
      <c r="C54" s="147">
        <v>0.4</v>
      </c>
      <c r="E54" s="126">
        <v>1.8</v>
      </c>
      <c r="F54" s="126">
        <v>1.6</v>
      </c>
      <c r="H54" s="230"/>
      <c r="I54" s="230"/>
    </row>
    <row r="55" spans="1:9" s="125" customFormat="1" ht="13.5" customHeight="1" thickTop="1" x14ac:dyDescent="0.2">
      <c r="A55" s="124"/>
      <c r="B55" s="224"/>
      <c r="C55" s="224"/>
      <c r="E55" s="146"/>
      <c r="F55" s="146"/>
      <c r="H55" s="146"/>
      <c r="I55" s="146"/>
    </row>
    <row r="56" spans="1:9" ht="13.5" customHeight="1" thickBot="1" x14ac:dyDescent="0.25">
      <c r="A56" s="41" t="s">
        <v>172</v>
      </c>
      <c r="B56" s="225">
        <f>'Reconciliation page'!B37</f>
        <v>43728</v>
      </c>
      <c r="C56" s="226">
        <f>'Reconciliation page'!C37</f>
        <v>122586</v>
      </c>
      <c r="E56" s="52">
        <f>'Reconciliation page'!E37</f>
        <v>363167</v>
      </c>
      <c r="F56" s="52">
        <f>'Reconciliation page'!F37</f>
        <v>437778</v>
      </c>
      <c r="H56" s="107"/>
      <c r="I56" s="107"/>
    </row>
    <row r="57" spans="1:9" ht="36.75" customHeight="1" thickTop="1" x14ac:dyDescent="0.2">
      <c r="A57" s="261" t="s">
        <v>152</v>
      </c>
      <c r="B57" s="261"/>
      <c r="C57" s="261"/>
      <c r="D57" s="261"/>
      <c r="E57" s="261"/>
      <c r="F57" s="261"/>
      <c r="H57" s="28"/>
      <c r="I57" s="28"/>
    </row>
    <row r="58" spans="1:9" ht="13.5" customHeight="1" x14ac:dyDescent="0.2">
      <c r="A58" s="17"/>
      <c r="B58" s="17"/>
    </row>
    <row r="59" spans="1:9" ht="13.5" customHeight="1" x14ac:dyDescent="0.2">
      <c r="A59" s="17"/>
      <c r="B59" s="20"/>
    </row>
    <row r="60" spans="1:9" ht="13.5" customHeight="1" x14ac:dyDescent="0.2">
      <c r="A60" s="17"/>
      <c r="B60" s="54"/>
    </row>
    <row r="61" spans="1:9" ht="13.5" customHeight="1" x14ac:dyDescent="0.2">
      <c r="A61" s="17"/>
      <c r="B61" s="17"/>
    </row>
    <row r="62" spans="1:9" ht="13.5" customHeight="1" x14ac:dyDescent="0.2">
      <c r="A62" s="17"/>
      <c r="B62" s="17"/>
    </row>
    <row r="63" spans="1:9" ht="13.5" customHeight="1" x14ac:dyDescent="0.2">
      <c r="A63" s="55"/>
      <c r="B63" s="55"/>
    </row>
    <row r="64" spans="1:9" ht="13.5" customHeight="1" x14ac:dyDescent="0.2">
      <c r="A64" s="55"/>
      <c r="B64" s="55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  <row r="104" spans="1:2" ht="13.5" customHeight="1" x14ac:dyDescent="0.2">
      <c r="A104" s="2"/>
      <c r="B104" s="2"/>
    </row>
    <row r="105" spans="1:2" ht="13.5" customHeight="1" x14ac:dyDescent="0.2">
      <c r="A105" s="2"/>
      <c r="B105" s="2"/>
    </row>
    <row r="106" spans="1:2" ht="13.5" customHeight="1" x14ac:dyDescent="0.2">
      <c r="A106" s="2"/>
      <c r="B106" s="2"/>
    </row>
  </sheetData>
  <mergeCells count="7">
    <mergeCell ref="A1:F1"/>
    <mergeCell ref="A2:F2"/>
    <mergeCell ref="A3:F3"/>
    <mergeCell ref="A57:F57"/>
    <mergeCell ref="E6:F6"/>
    <mergeCell ref="B6:C6"/>
    <mergeCell ref="B8:C8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B46" sqref="B46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0" style="1" hidden="1" customWidth="1"/>
    <col min="5" max="5" width="26.1640625" style="78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260" t="s">
        <v>0</v>
      </c>
      <c r="B1" s="264"/>
      <c r="C1" s="264"/>
    </row>
    <row r="2" spans="1:7" ht="13.5" customHeight="1" x14ac:dyDescent="0.25">
      <c r="A2" s="260" t="s">
        <v>12</v>
      </c>
      <c r="B2" s="264"/>
      <c r="C2" s="264"/>
    </row>
    <row r="3" spans="1:7" ht="13.5" customHeight="1" x14ac:dyDescent="0.25">
      <c r="A3" s="260" t="s">
        <v>13</v>
      </c>
      <c r="B3" s="264"/>
      <c r="C3" s="264"/>
    </row>
    <row r="4" spans="1:7" ht="13.5" customHeight="1" x14ac:dyDescent="0.2">
      <c r="A4" s="3"/>
      <c r="B4" s="3"/>
      <c r="C4" s="3"/>
      <c r="D4" s="3"/>
    </row>
    <row r="5" spans="1:7" s="87" customFormat="1" ht="13.5" customHeight="1" x14ac:dyDescent="0.2">
      <c r="A5" s="86"/>
      <c r="B5" s="105"/>
      <c r="C5" s="105"/>
      <c r="D5" s="86"/>
      <c r="E5" s="78"/>
    </row>
    <row r="6" spans="1:7" ht="13.5" customHeight="1" x14ac:dyDescent="0.2">
      <c r="A6" s="3"/>
      <c r="B6" s="106" t="s">
        <v>66</v>
      </c>
      <c r="C6" s="90" t="s">
        <v>64</v>
      </c>
      <c r="D6" s="3"/>
    </row>
    <row r="7" spans="1:7" ht="13.5" customHeight="1" x14ac:dyDescent="0.2">
      <c r="A7" s="3"/>
      <c r="B7" s="102">
        <v>2019</v>
      </c>
      <c r="C7" s="10">
        <v>2018</v>
      </c>
      <c r="D7" s="3"/>
    </row>
    <row r="8" spans="1:7" ht="13.5" customHeight="1" x14ac:dyDescent="0.2">
      <c r="A8" s="3"/>
      <c r="B8" s="99" t="s">
        <v>2</v>
      </c>
      <c r="C8" s="89"/>
      <c r="D8" s="3"/>
    </row>
    <row r="9" spans="1:7" ht="13.5" customHeight="1" x14ac:dyDescent="0.2">
      <c r="A9" s="4" t="s">
        <v>14</v>
      </c>
      <c r="B9" s="16"/>
      <c r="C9" s="3"/>
      <c r="D9" s="3"/>
    </row>
    <row r="10" spans="1:7" ht="13.5" customHeight="1" x14ac:dyDescent="0.2">
      <c r="A10" s="4" t="s">
        <v>15</v>
      </c>
      <c r="B10" s="16"/>
      <c r="C10" s="3"/>
      <c r="D10" s="3"/>
    </row>
    <row r="11" spans="1:7" ht="13.5" customHeight="1" x14ac:dyDescent="0.2">
      <c r="A11" s="5" t="s">
        <v>16</v>
      </c>
      <c r="B11" s="107">
        <v>153020</v>
      </c>
      <c r="C11" s="56">
        <v>264937</v>
      </c>
      <c r="D11" s="239"/>
    </row>
    <row r="12" spans="1:7" ht="13.5" customHeight="1" x14ac:dyDescent="0.2">
      <c r="A12" s="5" t="s">
        <v>153</v>
      </c>
      <c r="B12" s="81">
        <v>135667</v>
      </c>
      <c r="C12" s="58">
        <v>162797</v>
      </c>
      <c r="D12" s="3"/>
    </row>
    <row r="13" spans="1:7" ht="13.5" customHeight="1" x14ac:dyDescent="0.2">
      <c r="A13" s="5" t="s">
        <v>18</v>
      </c>
      <c r="B13" s="81">
        <v>168125</v>
      </c>
      <c r="C13" s="58">
        <v>200904</v>
      </c>
      <c r="D13" s="3"/>
      <c r="F13" s="138"/>
      <c r="G13" s="138"/>
    </row>
    <row r="14" spans="1:7" ht="13.5" customHeight="1" x14ac:dyDescent="0.2">
      <c r="A14" s="5" t="s">
        <v>19</v>
      </c>
      <c r="B14" s="81">
        <v>21143</v>
      </c>
      <c r="C14" s="58">
        <v>48926</v>
      </c>
      <c r="D14" s="3"/>
      <c r="F14" s="138"/>
      <c r="G14" s="138"/>
    </row>
    <row r="15" spans="1:7" ht="13.5" customHeight="1" x14ac:dyDescent="0.2">
      <c r="A15" s="5" t="s">
        <v>20</v>
      </c>
      <c r="B15" s="81">
        <v>130898</v>
      </c>
      <c r="C15" s="58">
        <v>125470</v>
      </c>
      <c r="D15" s="3"/>
      <c r="F15" s="138"/>
      <c r="G15" s="138"/>
    </row>
    <row r="16" spans="1:7" ht="13.5" hidden="1" customHeight="1" x14ac:dyDescent="0.2">
      <c r="A16" s="5" t="s">
        <v>21</v>
      </c>
      <c r="B16" s="81"/>
      <c r="C16" s="58">
        <v>0</v>
      </c>
      <c r="D16" s="3"/>
      <c r="F16" s="138"/>
      <c r="G16" s="138"/>
    </row>
    <row r="17" spans="1:7" s="26" customFormat="1" ht="13.5" hidden="1" customHeight="1" x14ac:dyDescent="0.2">
      <c r="A17" s="5" t="s">
        <v>23</v>
      </c>
      <c r="B17" s="81"/>
      <c r="C17" s="58">
        <v>0</v>
      </c>
      <c r="D17" s="25"/>
      <c r="E17" s="78"/>
      <c r="F17" s="138"/>
      <c r="G17" s="138"/>
    </row>
    <row r="18" spans="1:7" ht="13.5" hidden="1" customHeight="1" x14ac:dyDescent="0.2">
      <c r="A18" s="5" t="s">
        <v>22</v>
      </c>
      <c r="B18" s="81"/>
      <c r="C18" s="58">
        <v>0</v>
      </c>
      <c r="D18" s="3"/>
      <c r="F18" s="138"/>
      <c r="G18" s="138"/>
    </row>
    <row r="19" spans="1:7" ht="13.5" customHeight="1" x14ac:dyDescent="0.2">
      <c r="A19" s="5" t="s">
        <v>24</v>
      </c>
      <c r="B19" s="60">
        <f>500+5724+91670</f>
        <v>97894</v>
      </c>
      <c r="C19" s="60">
        <v>75749</v>
      </c>
      <c r="D19" s="77"/>
      <c r="F19" s="138"/>
      <c r="G19" s="138"/>
    </row>
    <row r="20" spans="1:7" ht="13.5" customHeight="1" x14ac:dyDescent="0.2">
      <c r="A20" s="5" t="s">
        <v>25</v>
      </c>
      <c r="B20" s="108">
        <f>SUM(B11:B19)</f>
        <v>706747</v>
      </c>
      <c r="C20" s="58">
        <f>SUM(C11:C19)</f>
        <v>878783</v>
      </c>
      <c r="D20" s="77"/>
      <c r="F20" s="138"/>
      <c r="G20" s="138"/>
    </row>
    <row r="21" spans="1:7" ht="13.5" customHeight="1" x14ac:dyDescent="0.2">
      <c r="A21" s="3"/>
      <c r="B21" s="95"/>
      <c r="C21" s="57"/>
      <c r="D21" s="3"/>
      <c r="F21" s="138"/>
      <c r="G21" s="138"/>
    </row>
    <row r="22" spans="1:7" ht="13.5" customHeight="1" x14ac:dyDescent="0.2">
      <c r="A22" s="4" t="s">
        <v>26</v>
      </c>
      <c r="B22" s="81">
        <v>984509</v>
      </c>
      <c r="C22" s="58">
        <v>834828</v>
      </c>
      <c r="D22" s="3"/>
      <c r="E22" s="79"/>
      <c r="F22" s="138"/>
      <c r="G22" s="138"/>
    </row>
    <row r="23" spans="1:7" ht="13.5" customHeight="1" x14ac:dyDescent="0.2">
      <c r="A23" s="3"/>
      <c r="B23" s="95"/>
      <c r="C23" s="57"/>
      <c r="D23" s="3"/>
    </row>
    <row r="24" spans="1:7" ht="13.5" customHeight="1" x14ac:dyDescent="0.2">
      <c r="A24" s="4" t="s">
        <v>27</v>
      </c>
      <c r="B24" s="95"/>
      <c r="C24" s="57"/>
      <c r="D24" s="3"/>
    </row>
    <row r="25" spans="1:7" ht="13.5" customHeight="1" x14ac:dyDescent="0.2">
      <c r="A25" s="5" t="s">
        <v>28</v>
      </c>
      <c r="B25" s="81">
        <v>105588</v>
      </c>
      <c r="C25" s="58">
        <v>104676</v>
      </c>
      <c r="D25" s="3"/>
    </row>
    <row r="26" spans="1:7" ht="13.5" customHeight="1" x14ac:dyDescent="0.2">
      <c r="A26" s="5" t="s">
        <v>29</v>
      </c>
      <c r="B26" s="60">
        <f>82+1600+69230</f>
        <v>70912</v>
      </c>
      <c r="C26" s="60">
        <v>68773</v>
      </c>
      <c r="D26" s="3"/>
    </row>
    <row r="27" spans="1:7" ht="13.5" customHeight="1" x14ac:dyDescent="0.2">
      <c r="A27" s="7" t="s">
        <v>30</v>
      </c>
      <c r="B27" s="60">
        <f>SUM(B25:B26)</f>
        <v>176500</v>
      </c>
      <c r="C27" s="60">
        <f>SUM(C25:C26)</f>
        <v>173449</v>
      </c>
      <c r="D27" s="3"/>
    </row>
    <row r="28" spans="1:7" ht="13.5" customHeight="1" thickBot="1" x14ac:dyDescent="0.25">
      <c r="A28" s="8" t="s">
        <v>31</v>
      </c>
      <c r="B28" s="61">
        <f>+B27+B22+B20</f>
        <v>1867756</v>
      </c>
      <c r="C28" s="61">
        <f>+C20+C22+C27</f>
        <v>1887060</v>
      </c>
      <c r="D28" s="3"/>
    </row>
    <row r="29" spans="1:7" ht="13.5" customHeight="1" thickTop="1" x14ac:dyDescent="0.2">
      <c r="A29" s="3"/>
      <c r="B29" s="95"/>
      <c r="C29" s="57"/>
      <c r="D29" s="3"/>
    </row>
    <row r="30" spans="1:7" ht="13.5" customHeight="1" x14ac:dyDescent="0.2">
      <c r="A30" s="4" t="s">
        <v>93</v>
      </c>
      <c r="B30" s="95"/>
      <c r="C30" s="57"/>
      <c r="D30" s="3"/>
    </row>
    <row r="31" spans="1:7" ht="13.5" customHeight="1" x14ac:dyDescent="0.2">
      <c r="A31" s="88" t="s">
        <v>75</v>
      </c>
      <c r="B31" s="95"/>
      <c r="C31" s="57"/>
      <c r="D31" s="3"/>
    </row>
    <row r="32" spans="1:7" ht="13.5" customHeight="1" x14ac:dyDescent="0.2">
      <c r="A32" s="5" t="s">
        <v>32</v>
      </c>
      <c r="B32" s="100">
        <f>132467+593</f>
        <v>133060</v>
      </c>
      <c r="C32" s="56">
        <v>128024</v>
      </c>
      <c r="D32" s="3"/>
    </row>
    <row r="33" spans="1:6" ht="13.5" customHeight="1" x14ac:dyDescent="0.2">
      <c r="A33" s="5" t="s">
        <v>33</v>
      </c>
      <c r="B33" s="81">
        <f>157064+103</f>
        <v>157167</v>
      </c>
      <c r="C33" s="58">
        <v>183514</v>
      </c>
      <c r="D33" s="3"/>
    </row>
    <row r="34" spans="1:6" ht="13.5" customHeight="1" x14ac:dyDescent="0.2">
      <c r="A34" s="5" t="s">
        <v>34</v>
      </c>
      <c r="B34" s="60">
        <v>20753</v>
      </c>
      <c r="C34" s="60">
        <v>17797</v>
      </c>
      <c r="D34" s="3"/>
    </row>
    <row r="35" spans="1:6" ht="13.5" customHeight="1" x14ac:dyDescent="0.2">
      <c r="A35" s="7" t="s">
        <v>35</v>
      </c>
      <c r="B35" s="81">
        <f>SUM(B32:B34)</f>
        <v>310980</v>
      </c>
      <c r="C35" s="58">
        <f>SUM(C32:C34)</f>
        <v>329335</v>
      </c>
      <c r="D35" s="3"/>
    </row>
    <row r="36" spans="1:6" ht="13.5" customHeight="1" x14ac:dyDescent="0.2">
      <c r="A36" s="5" t="s">
        <v>36</v>
      </c>
      <c r="B36" s="81">
        <v>290066</v>
      </c>
      <c r="C36" s="58">
        <v>300186</v>
      </c>
      <c r="D36" s="3"/>
    </row>
    <row r="37" spans="1:6" ht="13.5" customHeight="1" x14ac:dyDescent="0.2">
      <c r="A37" s="5" t="s">
        <v>37</v>
      </c>
      <c r="B37" s="81">
        <v>242432</v>
      </c>
      <c r="C37" s="58">
        <v>230304</v>
      </c>
      <c r="D37" s="3"/>
    </row>
    <row r="38" spans="1:6" ht="13.5" customHeight="1" x14ac:dyDescent="0.2">
      <c r="A38" s="5" t="s">
        <v>38</v>
      </c>
      <c r="B38" s="81">
        <v>5476</v>
      </c>
      <c r="C38" s="58">
        <v>16147</v>
      </c>
      <c r="D38" s="3"/>
    </row>
    <row r="39" spans="1:6" ht="13.5" customHeight="1" x14ac:dyDescent="0.2">
      <c r="A39" s="5" t="s">
        <v>39</v>
      </c>
      <c r="B39" s="81">
        <v>80567</v>
      </c>
      <c r="C39" s="58">
        <v>83163</v>
      </c>
      <c r="D39" s="3"/>
    </row>
    <row r="40" spans="1:6" ht="13.5" customHeight="1" x14ac:dyDescent="0.2">
      <c r="A40" s="5" t="s">
        <v>40</v>
      </c>
      <c r="B40" s="81">
        <v>215599</v>
      </c>
      <c r="C40" s="58">
        <v>174303</v>
      </c>
      <c r="D40" s="3"/>
    </row>
    <row r="41" spans="1:6" ht="13.5" hidden="1" customHeight="1" x14ac:dyDescent="0.2">
      <c r="A41" s="5" t="s">
        <v>23</v>
      </c>
      <c r="B41" s="81"/>
      <c r="C41" s="58">
        <v>0</v>
      </c>
      <c r="D41" s="3"/>
    </row>
    <row r="42" spans="1:6" ht="13.5" customHeight="1" x14ac:dyDescent="0.2">
      <c r="A42" s="5" t="s">
        <v>41</v>
      </c>
      <c r="B42" s="60">
        <f>82051+45+4</f>
        <v>82100</v>
      </c>
      <c r="C42" s="60">
        <v>48801</v>
      </c>
      <c r="D42" s="3"/>
    </row>
    <row r="43" spans="1:6" ht="13.5" customHeight="1" x14ac:dyDescent="0.2">
      <c r="A43" s="7" t="s">
        <v>76</v>
      </c>
      <c r="B43" s="81">
        <f>SUM(B35:B42)</f>
        <v>1227220</v>
      </c>
      <c r="C43" s="58">
        <f>SUM(C35:C42)</f>
        <v>1182239</v>
      </c>
      <c r="D43" s="9"/>
    </row>
    <row r="44" spans="1:6" ht="13.5" customHeight="1" x14ac:dyDescent="0.2">
      <c r="A44" s="3"/>
      <c r="B44" s="95"/>
      <c r="C44" s="57"/>
      <c r="D44" s="3"/>
    </row>
    <row r="45" spans="1:6" ht="13.5" customHeight="1" x14ac:dyDescent="0.2">
      <c r="A45" s="4" t="s">
        <v>92</v>
      </c>
      <c r="B45" s="95"/>
      <c r="C45" s="57"/>
      <c r="D45" s="3"/>
    </row>
    <row r="46" spans="1:6" ht="13.5" customHeight="1" x14ac:dyDescent="0.2">
      <c r="A46" s="5" t="s">
        <v>42</v>
      </c>
      <c r="B46" s="81">
        <v>252</v>
      </c>
      <c r="C46" s="58">
        <v>250</v>
      </c>
      <c r="D46" s="3"/>
    </row>
    <row r="47" spans="1:6" ht="13.5" customHeight="1" x14ac:dyDescent="0.2">
      <c r="A47" s="5" t="s">
        <v>43</v>
      </c>
      <c r="B47" s="81">
        <v>730551</v>
      </c>
      <c r="C47" s="58">
        <v>717492</v>
      </c>
      <c r="D47" s="3"/>
    </row>
    <row r="48" spans="1:6" ht="13.5" customHeight="1" x14ac:dyDescent="0.2">
      <c r="A48" s="5" t="s">
        <v>99</v>
      </c>
      <c r="B48" s="81">
        <v>731425</v>
      </c>
      <c r="C48" s="58">
        <v>527666</v>
      </c>
      <c r="D48" s="9"/>
      <c r="F48" s="96"/>
    </row>
    <row r="49" spans="1:7" s="123" customFormat="1" ht="13.5" customHeight="1" x14ac:dyDescent="0.2">
      <c r="A49" s="5" t="s">
        <v>100</v>
      </c>
      <c r="B49" s="81">
        <v>-827381</v>
      </c>
      <c r="C49" s="58">
        <v>-583883</v>
      </c>
      <c r="D49" s="9"/>
      <c r="E49" s="78"/>
      <c r="F49" s="96"/>
    </row>
    <row r="50" spans="1:7" ht="13.5" customHeight="1" x14ac:dyDescent="0.2">
      <c r="A50" s="5" t="s">
        <v>95</v>
      </c>
      <c r="B50" s="60">
        <v>5689</v>
      </c>
      <c r="C50" s="60">
        <v>43296</v>
      </c>
      <c r="D50" s="77"/>
    </row>
    <row r="51" spans="1:7" ht="13.5" customHeight="1" x14ac:dyDescent="0.2">
      <c r="A51" s="7" t="s">
        <v>96</v>
      </c>
      <c r="B51" s="62">
        <f>SUM(B46:B50)</f>
        <v>640536</v>
      </c>
      <c r="C51" s="62">
        <f>SUM(C46:C50)</f>
        <v>704821</v>
      </c>
      <c r="D51" s="3"/>
    </row>
    <row r="52" spans="1:7" ht="13.5" customHeight="1" thickBot="1" x14ac:dyDescent="0.25">
      <c r="A52" s="8" t="s">
        <v>97</v>
      </c>
      <c r="B52" s="61">
        <f>+B43+B51</f>
        <v>1867756</v>
      </c>
      <c r="C52" s="61">
        <f>+C43+C51</f>
        <v>1887060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2"/>
      <c r="C54" s="32"/>
    </row>
    <row r="55" spans="1:7" ht="13.5" customHeight="1" x14ac:dyDescent="0.2">
      <c r="B55" s="82"/>
      <c r="C55" s="32"/>
      <c r="E55" s="78" t="s">
        <v>104</v>
      </c>
      <c r="F55" s="82">
        <f>C48</f>
        <v>527666</v>
      </c>
    </row>
    <row r="56" spans="1:7" ht="13.5" customHeight="1" x14ac:dyDescent="0.2">
      <c r="B56" s="32"/>
      <c r="E56" s="78" t="s">
        <v>105</v>
      </c>
      <c r="F56" s="82">
        <f>'Income Statement'!E44</f>
        <v>233799</v>
      </c>
    </row>
    <row r="57" spans="1:7" ht="13.5" customHeight="1" x14ac:dyDescent="0.2">
      <c r="B57" s="32"/>
      <c r="E57" s="78" t="s">
        <v>106</v>
      </c>
      <c r="F57" s="136">
        <f>-F61-F62</f>
        <v>-30040</v>
      </c>
      <c r="G57" s="78"/>
    </row>
    <row r="58" spans="1:7" ht="13.5" customHeight="1" x14ac:dyDescent="0.2">
      <c r="B58" s="32"/>
      <c r="F58" s="82"/>
    </row>
    <row r="59" spans="1:7" ht="13.5" customHeight="1" thickBot="1" x14ac:dyDescent="0.25">
      <c r="F59" s="137">
        <f>SUM(F55:F58)</f>
        <v>731425</v>
      </c>
    </row>
    <row r="60" spans="1:7" ht="13.5" customHeight="1" thickTop="1" x14ac:dyDescent="0.2">
      <c r="F60" s="82"/>
    </row>
    <row r="61" spans="1:7" ht="13.5" customHeight="1" x14ac:dyDescent="0.2">
      <c r="E61" s="78" t="s">
        <v>47</v>
      </c>
      <c r="F61" s="82">
        <f>7839+7425+7000+6809+1147</f>
        <v>30220</v>
      </c>
    </row>
    <row r="62" spans="1:7" ht="13.5" customHeight="1" x14ac:dyDescent="0.2">
      <c r="E62" s="78" t="s">
        <v>107</v>
      </c>
      <c r="F62" s="32">
        <f>272+271+281+143-1147</f>
        <v>-180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0"/>
  <sheetViews>
    <sheetView workbookViewId="0">
      <selection activeCell="B9" sqref="B9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8" customWidth="1"/>
    <col min="4" max="4" width="21.5" style="14" hidden="1" customWidth="1"/>
    <col min="5" max="5" width="25.83203125" style="14" hidden="1" customWidth="1"/>
    <col min="6" max="6" width="25.83203125" style="212" hidden="1" customWidth="1"/>
    <col min="7" max="16384" width="21.5" style="14"/>
  </cols>
  <sheetData>
    <row r="1" spans="1:21" ht="14.25" customHeight="1" x14ac:dyDescent="0.25">
      <c r="A1" s="260" t="s">
        <v>0</v>
      </c>
      <c r="B1" s="265"/>
      <c r="C1" s="265"/>
      <c r="D1" s="12"/>
      <c r="E1" s="12"/>
      <c r="F1" s="2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60" t="s">
        <v>63</v>
      </c>
      <c r="B2" s="265"/>
      <c r="C2" s="265"/>
      <c r="D2" s="12"/>
      <c r="E2" s="12"/>
      <c r="F2" s="2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60" t="s">
        <v>13</v>
      </c>
      <c r="B3" s="265"/>
      <c r="C3" s="265"/>
      <c r="D3" s="12"/>
      <c r="E3" s="12"/>
      <c r="F3" s="2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62" t="s">
        <v>188</v>
      </c>
      <c r="C6" s="262"/>
      <c r="D6" s="12"/>
      <c r="E6" s="214" t="s">
        <v>195</v>
      </c>
      <c r="F6" s="214" t="s">
        <v>151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02">
        <v>2019</v>
      </c>
      <c r="C7" s="188">
        <v>2018</v>
      </c>
      <c r="D7" s="12"/>
      <c r="E7" s="213" t="s">
        <v>180</v>
      </c>
      <c r="F7" s="213" t="s">
        <v>194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52" t="s">
        <v>2</v>
      </c>
      <c r="C8" s="255"/>
      <c r="D8" s="12"/>
      <c r="E8" s="12"/>
      <c r="F8" s="2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62</v>
      </c>
      <c r="B9" s="16"/>
      <c r="C9" s="16"/>
      <c r="D9" s="12"/>
      <c r="E9" s="12"/>
      <c r="F9" s="2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109</v>
      </c>
      <c r="B10" s="107">
        <f>'Income Statement'!E44</f>
        <v>233799</v>
      </c>
      <c r="C10" s="107">
        <f>'Income Statement'!F44</f>
        <v>312577</v>
      </c>
      <c r="D10" s="9"/>
      <c r="E10" s="107">
        <v>242350</v>
      </c>
      <c r="F10" s="107">
        <f>B10-E10</f>
        <v>-8551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149</v>
      </c>
      <c r="B11" s="84"/>
      <c r="C11" s="84"/>
      <c r="D11" s="12"/>
      <c r="E11" s="84"/>
      <c r="F11" s="8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5</v>
      </c>
      <c r="B12" s="81">
        <f>'Income Statement'!E14</f>
        <v>112055</v>
      </c>
      <c r="C12" s="81">
        <f>'Income Statement'!F14</f>
        <v>119563</v>
      </c>
      <c r="D12" s="12"/>
      <c r="E12" s="19">
        <v>82199</v>
      </c>
      <c r="F12" s="19">
        <f>B12-E12</f>
        <v>29856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87" customFormat="1" ht="13.5" customHeight="1" x14ac:dyDescent="0.2">
      <c r="A13" s="5" t="s">
        <v>78</v>
      </c>
      <c r="B13" s="81">
        <f>'Income Statement'!E15</f>
        <v>20548</v>
      </c>
      <c r="C13" s="81">
        <f>'Income Statement'!F15</f>
        <v>27970</v>
      </c>
      <c r="D13" s="86"/>
      <c r="E13" s="19">
        <v>15411</v>
      </c>
      <c r="F13" s="19">
        <f t="shared" ref="F13:F20" si="0">B13-E13</f>
        <v>5137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3.5" customHeight="1" x14ac:dyDescent="0.2">
      <c r="A14" s="5" t="s">
        <v>80</v>
      </c>
      <c r="B14" s="81">
        <f>'Income Statement'!E16</f>
        <v>-434</v>
      </c>
      <c r="C14" s="81">
        <f>'Income Statement'!F16</f>
        <v>11107</v>
      </c>
      <c r="D14" s="12"/>
      <c r="E14" s="19">
        <v>-77</v>
      </c>
      <c r="F14" s="19">
        <f t="shared" si="0"/>
        <v>-357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hidden="1" customHeight="1" x14ac:dyDescent="0.2">
      <c r="A15" s="5" t="s">
        <v>61</v>
      </c>
      <c r="B15" s="81">
        <v>0</v>
      </c>
      <c r="C15" s="81">
        <v>0</v>
      </c>
      <c r="D15" s="9"/>
      <c r="E15" s="19">
        <v>0</v>
      </c>
      <c r="F15" s="19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69" customFormat="1" ht="13.5" customHeight="1" x14ac:dyDescent="0.2">
      <c r="A16" s="5" t="s">
        <v>23</v>
      </c>
      <c r="B16" s="81">
        <v>13501</v>
      </c>
      <c r="C16" s="81">
        <v>18701</v>
      </c>
      <c r="D16" s="9"/>
      <c r="E16" s="81">
        <v>13680</v>
      </c>
      <c r="F16" s="19">
        <f t="shared" si="0"/>
        <v>-179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ht="13.5" customHeight="1" x14ac:dyDescent="0.2">
      <c r="A17" s="5" t="s">
        <v>60</v>
      </c>
      <c r="B17" s="81">
        <v>21989</v>
      </c>
      <c r="C17" s="81">
        <v>17519</v>
      </c>
      <c r="D17" s="12"/>
      <c r="E17" s="81">
        <v>17305</v>
      </c>
      <c r="F17" s="19">
        <f t="shared" si="0"/>
        <v>4684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69" customFormat="1" ht="13.5" customHeight="1" x14ac:dyDescent="0.2">
      <c r="A18" s="5" t="s">
        <v>207</v>
      </c>
      <c r="B18" s="81">
        <f>9008-631-73</f>
        <v>8304</v>
      </c>
      <c r="C18" s="81">
        <v>-625</v>
      </c>
      <c r="D18" s="68"/>
      <c r="E18" s="81">
        <v>-818</v>
      </c>
      <c r="F18" s="19">
        <f t="shared" si="0"/>
        <v>9122</v>
      </c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ht="13.5" customHeight="1" x14ac:dyDescent="0.2">
      <c r="A19" s="5" t="s">
        <v>59</v>
      </c>
      <c r="B19" s="81">
        <v>3691</v>
      </c>
      <c r="C19" s="81">
        <v>4179</v>
      </c>
      <c r="D19" s="12"/>
      <c r="E19" s="81">
        <v>2757</v>
      </c>
      <c r="F19" s="19">
        <f t="shared" si="0"/>
        <v>934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s="238" customFormat="1" ht="13.5" customHeight="1" x14ac:dyDescent="0.2">
      <c r="A20" s="42" t="s">
        <v>181</v>
      </c>
      <c r="B20" s="81">
        <v>-39000</v>
      </c>
      <c r="C20" s="81">
        <v>0</v>
      </c>
      <c r="D20" s="237"/>
      <c r="E20" s="81">
        <v>-39000</v>
      </c>
      <c r="F20" s="19">
        <f t="shared" si="0"/>
        <v>0</v>
      </c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</row>
    <row r="21" spans="1:21" ht="13.5" customHeight="1" x14ac:dyDescent="0.2">
      <c r="A21" s="5" t="s">
        <v>58</v>
      </c>
      <c r="B21" s="95"/>
      <c r="C21" s="95"/>
      <c r="D21" s="12"/>
      <c r="E21" s="95"/>
      <c r="F21" s="84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3.5" customHeight="1" x14ac:dyDescent="0.2">
      <c r="A22" s="7" t="s">
        <v>57</v>
      </c>
      <c r="B22" s="81">
        <v>30713</v>
      </c>
      <c r="C22" s="81">
        <v>-22903</v>
      </c>
      <c r="D22" s="12"/>
      <c r="E22" s="81">
        <v>-4622</v>
      </c>
      <c r="F22" s="19">
        <f t="shared" ref="F22:F26" si="1">B22-E22</f>
        <v>35335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3.5" customHeight="1" x14ac:dyDescent="0.2">
      <c r="A23" s="7" t="s">
        <v>20</v>
      </c>
      <c r="B23" s="81">
        <v>-15251</v>
      </c>
      <c r="C23" s="81">
        <v>3490</v>
      </c>
      <c r="D23" s="12"/>
      <c r="E23" s="81">
        <v>-46073</v>
      </c>
      <c r="F23" s="19">
        <f t="shared" si="1"/>
        <v>30822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 x14ac:dyDescent="0.2">
      <c r="A24" s="7" t="s">
        <v>56</v>
      </c>
      <c r="B24" s="81">
        <v>-28222</v>
      </c>
      <c r="C24" s="81">
        <v>-14208</v>
      </c>
      <c r="D24" s="9"/>
      <c r="E24" s="81">
        <v>1569</v>
      </c>
      <c r="F24" s="19">
        <f t="shared" si="1"/>
        <v>-29791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s="71" customFormat="1" ht="13.5" customHeight="1" x14ac:dyDescent="0.2">
      <c r="A25" s="7" t="s">
        <v>94</v>
      </c>
      <c r="B25" s="81">
        <f>38210-58</f>
        <v>38152</v>
      </c>
      <c r="C25" s="81">
        <v>-46970</v>
      </c>
      <c r="D25" s="9"/>
      <c r="E25" s="81">
        <f>32497-57</f>
        <v>32440</v>
      </c>
      <c r="F25" s="19">
        <f t="shared" si="1"/>
        <v>5712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13.5" customHeight="1" x14ac:dyDescent="0.2">
      <c r="A26" s="22" t="s">
        <v>46</v>
      </c>
      <c r="B26" s="81">
        <f>4270+199+315-719-3175+7763-18930-11455+12032-8199+39649-2-1879</f>
        <v>19869</v>
      </c>
      <c r="C26" s="81">
        <f>-13056+134+485</f>
        <v>-12437</v>
      </c>
      <c r="D26" s="9"/>
      <c r="E26" s="81">
        <f>128+148+235-533-1113+3056-18875-7274+4768-7090+43483-1</f>
        <v>16932</v>
      </c>
      <c r="F26" s="19">
        <f t="shared" si="1"/>
        <v>2937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3.5" customHeight="1" x14ac:dyDescent="0.2">
      <c r="A27" s="18" t="s">
        <v>135</v>
      </c>
      <c r="B27" s="108">
        <f>SUM(B10:B26)</f>
        <v>419714</v>
      </c>
      <c r="C27" s="108">
        <f>SUM(C10:C26)</f>
        <v>417963</v>
      </c>
      <c r="D27" s="6"/>
      <c r="E27" s="63">
        <f>SUM(E10:E26)</f>
        <v>334053</v>
      </c>
      <c r="F27" s="63">
        <f>SUM(F10:F26)</f>
        <v>85661</v>
      </c>
      <c r="G27" s="12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12"/>
      <c r="B28" s="95"/>
      <c r="C28" s="95"/>
      <c r="D28" s="12"/>
      <c r="E28" s="151"/>
      <c r="F28" s="15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15" t="s">
        <v>55</v>
      </c>
      <c r="B29" s="95"/>
      <c r="C29" s="95"/>
      <c r="D29" s="12"/>
      <c r="E29" s="84"/>
      <c r="F29" s="84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5" t="s">
        <v>54</v>
      </c>
      <c r="B30" s="81">
        <f>-268516+2160</f>
        <v>-266356</v>
      </c>
      <c r="C30" s="81">
        <v>-95272</v>
      </c>
      <c r="D30" s="12"/>
      <c r="E30" s="81">
        <f>-138854+1458</f>
        <v>-137396</v>
      </c>
      <c r="F30" s="19">
        <f t="shared" ref="F30:F35" si="2">B30-E30</f>
        <v>-128960</v>
      </c>
      <c r="G30" s="12"/>
      <c r="H30" s="9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77</v>
      </c>
      <c r="B31" s="81">
        <v>-1249</v>
      </c>
      <c r="C31" s="81">
        <v>-584</v>
      </c>
      <c r="D31" s="12"/>
      <c r="E31" s="81">
        <v>-1187</v>
      </c>
      <c r="F31" s="19">
        <f t="shared" si="2"/>
        <v>-62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150</v>
      </c>
      <c r="B32" s="81">
        <f>1883+2300+1952</f>
        <v>6135</v>
      </c>
      <c r="C32" s="81">
        <v>1083</v>
      </c>
      <c r="D32" s="12"/>
      <c r="E32" s="81">
        <v>1799</v>
      </c>
      <c r="F32" s="19">
        <f t="shared" si="2"/>
        <v>4336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53</v>
      </c>
      <c r="B33" s="81">
        <v>-205216</v>
      </c>
      <c r="C33" s="81">
        <v>-143328</v>
      </c>
      <c r="D33" s="12"/>
      <c r="E33" s="81">
        <f>-146015-12563</f>
        <v>-158578</v>
      </c>
      <c r="F33" s="19">
        <f t="shared" si="2"/>
        <v>-46638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 customHeight="1" x14ac:dyDescent="0.2">
      <c r="A34" s="5" t="s">
        <v>52</v>
      </c>
      <c r="B34" s="81">
        <v>233074</v>
      </c>
      <c r="C34" s="81">
        <v>136630</v>
      </c>
      <c r="D34" s="12"/>
      <c r="E34" s="81">
        <v>146170</v>
      </c>
      <c r="F34" s="19">
        <f t="shared" si="2"/>
        <v>86904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customHeight="1" x14ac:dyDescent="0.2">
      <c r="A35" s="5" t="s">
        <v>51</v>
      </c>
      <c r="B35" s="60">
        <v>-5499</v>
      </c>
      <c r="C35" s="60">
        <v>-2481</v>
      </c>
      <c r="D35" s="12"/>
      <c r="E35" s="60">
        <v>-4810</v>
      </c>
      <c r="F35" s="59">
        <f t="shared" si="2"/>
        <v>-689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18" t="s">
        <v>169</v>
      </c>
      <c r="B36" s="81">
        <f>SUM(B30:B35)</f>
        <v>-239111</v>
      </c>
      <c r="C36" s="81">
        <f>SUM(C30:C35)</f>
        <v>-103952</v>
      </c>
      <c r="D36" s="9"/>
      <c r="E36" s="19">
        <f>SUM(E30:E35)</f>
        <v>-154002</v>
      </c>
      <c r="F36" s="19">
        <f>SUM(F30:F35)</f>
        <v>-85109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2"/>
      <c r="B37" s="95"/>
      <c r="C37" s="95"/>
      <c r="D37" s="12"/>
      <c r="E37" s="84"/>
      <c r="F37" s="8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 customHeight="1" x14ac:dyDescent="0.2">
      <c r="A38" s="15" t="s">
        <v>50</v>
      </c>
      <c r="B38" s="95"/>
      <c r="C38" s="95"/>
      <c r="D38" s="12"/>
      <c r="E38" s="84"/>
      <c r="F38" s="8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s="191" customFormat="1" ht="13.5" customHeight="1" x14ac:dyDescent="0.2">
      <c r="A39" s="5" t="s">
        <v>136</v>
      </c>
      <c r="B39" s="81">
        <v>-3000</v>
      </c>
      <c r="C39" s="81">
        <v>-3000</v>
      </c>
      <c r="D39" s="190"/>
      <c r="E39" s="81">
        <v>-2250</v>
      </c>
      <c r="F39" s="19">
        <f t="shared" ref="F39:F45" si="3">B39-E39</f>
        <v>-750</v>
      </c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</row>
    <row r="40" spans="1:21" ht="13.5" customHeight="1" x14ac:dyDescent="0.2">
      <c r="A40" s="5" t="s">
        <v>49</v>
      </c>
      <c r="B40" s="81">
        <v>-5373</v>
      </c>
      <c r="C40" s="81">
        <v>-6077</v>
      </c>
      <c r="D40" s="12"/>
      <c r="E40" s="81">
        <v>-12077</v>
      </c>
      <c r="F40" s="19">
        <f t="shared" si="3"/>
        <v>6704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87" customFormat="1" ht="13.5" customHeight="1" x14ac:dyDescent="0.2">
      <c r="A41" s="5" t="s">
        <v>48</v>
      </c>
      <c r="B41" s="81">
        <v>0</v>
      </c>
      <c r="C41" s="81">
        <v>-1257</v>
      </c>
      <c r="D41" s="86"/>
      <c r="E41" s="81">
        <v>0</v>
      </c>
      <c r="F41" s="19">
        <f t="shared" si="3"/>
        <v>0</v>
      </c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3.5" customHeight="1" x14ac:dyDescent="0.2">
      <c r="A42" s="5" t="s">
        <v>47</v>
      </c>
      <c r="B42" s="81">
        <v>-30220</v>
      </c>
      <c r="C42" s="81">
        <v>-31269</v>
      </c>
      <c r="D42" s="12"/>
      <c r="E42" s="81">
        <v>-22264</v>
      </c>
      <c r="F42" s="19">
        <f t="shared" si="3"/>
        <v>-7956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24" customFormat="1" ht="13.5" customHeight="1" x14ac:dyDescent="0.2">
      <c r="A43" s="5" t="s">
        <v>101</v>
      </c>
      <c r="B43" s="81">
        <v>-244998</v>
      </c>
      <c r="C43" s="81">
        <v>-280871</v>
      </c>
      <c r="D43" s="23"/>
      <c r="E43" s="81">
        <v>-232999</v>
      </c>
      <c r="F43" s="19">
        <f t="shared" si="3"/>
        <v>-11999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s="245" customFormat="1" ht="13.5" customHeight="1" x14ac:dyDescent="0.2">
      <c r="A44" s="5" t="s">
        <v>203</v>
      </c>
      <c r="B44" s="81">
        <v>-8961</v>
      </c>
      <c r="C44" s="81">
        <v>0</v>
      </c>
      <c r="D44" s="244"/>
      <c r="E44" s="81">
        <v>0</v>
      </c>
      <c r="F44" s="19">
        <f t="shared" si="3"/>
        <v>-8961</v>
      </c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</row>
    <row r="45" spans="1:21" s="40" customFormat="1" ht="13.5" customHeight="1" x14ac:dyDescent="0.2">
      <c r="A45" s="5" t="s">
        <v>46</v>
      </c>
      <c r="B45" s="60">
        <v>32</v>
      </c>
      <c r="C45" s="60">
        <f>-152-50</f>
        <v>-202</v>
      </c>
      <c r="D45" s="39"/>
      <c r="E45" s="60">
        <v>30</v>
      </c>
      <c r="F45" s="59">
        <f t="shared" si="3"/>
        <v>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3.5" customHeight="1" x14ac:dyDescent="0.2">
      <c r="A46" s="7" t="s">
        <v>137</v>
      </c>
      <c r="B46" s="60">
        <f>SUM(B39:B45)</f>
        <v>-292520</v>
      </c>
      <c r="C46" s="60">
        <f>SUM(C39:C45)</f>
        <v>-322676</v>
      </c>
      <c r="D46" s="12"/>
      <c r="E46" s="59">
        <f>SUM(E39:E45)</f>
        <v>-269560</v>
      </c>
      <c r="F46" s="59">
        <f>SUM(F39:F45)</f>
        <v>-22960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3.5" customHeight="1" x14ac:dyDescent="0.2">
      <c r="A47" s="12"/>
      <c r="B47" s="95"/>
      <c r="C47" s="95"/>
      <c r="D47" s="12"/>
      <c r="E47" s="84"/>
      <c r="F47" s="8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customHeight="1" x14ac:dyDescent="0.2">
      <c r="A48" s="11" t="s">
        <v>206</v>
      </c>
      <c r="B48" s="81">
        <f>+B46+B36+B27</f>
        <v>-111917</v>
      </c>
      <c r="C48" s="81">
        <f>C27+C36+C46</f>
        <v>-8665</v>
      </c>
      <c r="D48" s="12"/>
      <c r="E48" s="19">
        <f>+E46+E36+E27</f>
        <v>-89509</v>
      </c>
      <c r="F48" s="19">
        <f>+F46+F36+F27</f>
        <v>-22408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 customHeight="1" x14ac:dyDescent="0.2">
      <c r="A49" s="11" t="s">
        <v>173</v>
      </c>
      <c r="B49" s="60">
        <v>264937</v>
      </c>
      <c r="C49" s="60">
        <v>273602</v>
      </c>
      <c r="D49" s="12"/>
      <c r="E49" s="59">
        <v>264937</v>
      </c>
      <c r="F49" s="59">
        <v>175428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2"/>
      <c r="B50" s="84"/>
      <c r="C50" s="84"/>
      <c r="D50" s="12"/>
      <c r="E50" s="84"/>
      <c r="F50" s="84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thickBot="1" x14ac:dyDescent="0.25">
      <c r="A51" s="11" t="s">
        <v>174</v>
      </c>
      <c r="B51" s="52">
        <f>+B48+B49</f>
        <v>153020</v>
      </c>
      <c r="C51" s="52">
        <f>SUM(C48:C49)</f>
        <v>264937</v>
      </c>
      <c r="D51" s="12"/>
      <c r="E51" s="52">
        <f>+E48+E49</f>
        <v>175428</v>
      </c>
      <c r="F51" s="52">
        <f>+F48+F49</f>
        <v>153020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8.75" customHeight="1" thickTop="1" x14ac:dyDescent="0.2">
      <c r="A52" s="12"/>
      <c r="B52" s="53"/>
      <c r="C52" s="84"/>
      <c r="D52" s="12"/>
      <c r="E52" s="210"/>
      <c r="F52" s="2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8.75" customHeight="1" x14ac:dyDescent="0.2">
      <c r="A53" s="192" t="s">
        <v>139</v>
      </c>
      <c r="B53" s="58"/>
      <c r="C53" s="81"/>
      <c r="D53" s="12"/>
      <c r="E53" s="58"/>
      <c r="F53" s="58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 customHeight="1" x14ac:dyDescent="0.2">
      <c r="A54" s="5" t="s">
        <v>16</v>
      </c>
      <c r="B54" s="64">
        <f>'Balance Sheet'!B11</f>
        <v>153020</v>
      </c>
      <c r="C54" s="154">
        <v>264937</v>
      </c>
      <c r="D54" s="12"/>
      <c r="E54" s="64">
        <v>175428</v>
      </c>
      <c r="F54" s="64">
        <v>153020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x14ac:dyDescent="0.2">
      <c r="A55" s="5" t="s">
        <v>134</v>
      </c>
      <c r="B55" s="60">
        <v>0</v>
      </c>
      <c r="C55" s="193">
        <v>0</v>
      </c>
      <c r="D55" s="12"/>
      <c r="E55" s="59">
        <v>0</v>
      </c>
      <c r="F55" s="59">
        <v>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3.5" customHeight="1" x14ac:dyDescent="0.2">
      <c r="A56" s="12"/>
      <c r="B56" s="64"/>
      <c r="C56" s="154"/>
      <c r="D56" s="12"/>
      <c r="E56" s="64"/>
      <c r="F56" s="6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8.75" customHeight="1" thickBot="1" x14ac:dyDescent="0.25">
      <c r="A57" s="12"/>
      <c r="B57" s="194">
        <f>SUM(B54:B56)</f>
        <v>153020</v>
      </c>
      <c r="C57" s="194">
        <f>SUM(C54:C56)</f>
        <v>264937</v>
      </c>
      <c r="D57" s="12"/>
      <c r="E57" s="194">
        <f>SUM(E54:E56)</f>
        <v>175428</v>
      </c>
      <c r="F57" s="194">
        <f>SUM(F54:F56)</f>
        <v>153020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thickTop="1" x14ac:dyDescent="0.2">
      <c r="A58" s="12"/>
      <c r="B58" s="53"/>
      <c r="C58" s="84"/>
      <c r="D58" s="12"/>
      <c r="E58" s="12"/>
      <c r="F58" s="2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8.75" customHeight="1" x14ac:dyDescent="0.2">
      <c r="A59" s="12"/>
      <c r="B59" s="64"/>
      <c r="C59" s="84"/>
      <c r="D59" s="12"/>
      <c r="E59" s="12"/>
      <c r="F59" s="211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x14ac:dyDescent="0.2">
      <c r="A60" s="12"/>
      <c r="B60" s="53"/>
      <c r="C60" s="84"/>
      <c r="D60" s="12"/>
      <c r="E60" s="12"/>
      <c r="F60" s="211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x14ac:dyDescent="0.2">
      <c r="A61" s="12"/>
      <c r="B61" s="53"/>
      <c r="C61" s="84"/>
      <c r="D61" s="12"/>
      <c r="E61" s="12"/>
      <c r="F61" s="211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53"/>
      <c r="C62" s="84"/>
      <c r="D62" s="12"/>
      <c r="E62" s="12"/>
      <c r="F62" s="211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3"/>
      <c r="C63" s="84"/>
      <c r="D63" s="12"/>
      <c r="E63" s="12"/>
      <c r="F63" s="2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3"/>
      <c r="C64" s="84"/>
      <c r="D64" s="12"/>
      <c r="E64" s="12"/>
      <c r="F64" s="2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3"/>
      <c r="C65" s="84"/>
      <c r="D65" s="12"/>
      <c r="E65" s="12"/>
      <c r="F65" s="2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3"/>
      <c r="C66" s="84"/>
      <c r="D66" s="12"/>
      <c r="E66" s="12"/>
      <c r="F66" s="211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3"/>
      <c r="C67" s="84"/>
      <c r="D67" s="12"/>
      <c r="E67" s="12"/>
      <c r="F67" s="2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3"/>
      <c r="C68" s="84"/>
      <c r="D68" s="12"/>
      <c r="E68" s="12"/>
      <c r="F68" s="211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3"/>
      <c r="C69" s="84"/>
      <c r="D69" s="12"/>
      <c r="E69" s="12"/>
      <c r="F69" s="211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12"/>
      <c r="C70" s="16"/>
      <c r="D70" s="12"/>
      <c r="E70" s="12"/>
      <c r="F70" s="2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12"/>
      <c r="C71" s="16"/>
      <c r="D71" s="12"/>
      <c r="E71" s="12"/>
      <c r="F71" s="211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12"/>
      <c r="C72" s="16"/>
      <c r="D72" s="12"/>
      <c r="E72" s="12"/>
      <c r="F72" s="21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11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11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11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11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11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11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11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11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11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11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11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11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1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11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11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11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</sheetData>
  <mergeCells count="4">
    <mergeCell ref="A1:C1"/>
    <mergeCell ref="A2:C2"/>
    <mergeCell ref="A3:C3"/>
    <mergeCell ref="B6:C6"/>
  </mergeCells>
  <pageMargins left="0.7" right="0.7" top="0.75" bottom="0.75" header="0.3" footer="0.3"/>
  <pageSetup scale="87" orientation="portrait" r:id="rId1"/>
  <ignoredErrors>
    <ignoredError sqref="C48 C5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F95"/>
  <sheetViews>
    <sheetView workbookViewId="0">
      <selection activeCell="A10" sqref="A10"/>
    </sheetView>
  </sheetViews>
  <sheetFormatPr defaultColWidth="21.5" defaultRowHeight="12.75" x14ac:dyDescent="0.2"/>
  <cols>
    <col min="1" max="1" width="73" style="27" customWidth="1"/>
    <col min="2" max="2" width="2.1640625" style="27" customWidth="1"/>
    <col min="3" max="4" width="15.83203125" style="27" customWidth="1"/>
    <col min="5" max="16384" width="21.5" style="27"/>
  </cols>
  <sheetData>
    <row r="1" spans="1:6" ht="13.5" customHeight="1" x14ac:dyDescent="0.25">
      <c r="A1" s="266" t="s">
        <v>0</v>
      </c>
      <c r="B1" s="267"/>
      <c r="C1" s="267"/>
      <c r="D1" s="267"/>
    </row>
    <row r="2" spans="1:6" ht="13.5" customHeight="1" x14ac:dyDescent="0.25">
      <c r="A2" s="266" t="s">
        <v>65</v>
      </c>
      <c r="B2" s="267"/>
      <c r="C2" s="267"/>
      <c r="D2" s="267"/>
    </row>
    <row r="3" spans="1:6" ht="13.5" customHeight="1" x14ac:dyDescent="0.25">
      <c r="A3" s="266" t="s">
        <v>13</v>
      </c>
      <c r="B3" s="267"/>
      <c r="C3" s="267"/>
      <c r="D3" s="267"/>
    </row>
    <row r="4" spans="1:6" ht="6" customHeight="1" x14ac:dyDescent="0.2"/>
    <row r="5" spans="1:6" ht="18.75" customHeight="1" x14ac:dyDescent="0.2">
      <c r="A5" s="29"/>
      <c r="B5" s="29"/>
      <c r="C5" s="106" t="s">
        <v>66</v>
      </c>
      <c r="D5" s="92" t="s">
        <v>66</v>
      </c>
    </row>
    <row r="6" spans="1:6" ht="12.75" customHeight="1" x14ac:dyDescent="0.2">
      <c r="A6" s="29"/>
      <c r="B6" s="29"/>
      <c r="C6" s="102">
        <v>2019</v>
      </c>
      <c r="D6" s="30">
        <v>2018</v>
      </c>
    </row>
    <row r="7" spans="1:6" ht="18.75" customHeight="1" x14ac:dyDescent="0.2">
      <c r="A7" s="29"/>
      <c r="B7" s="29"/>
      <c r="C7" s="109" t="s">
        <v>2</v>
      </c>
      <c r="D7" s="91"/>
    </row>
    <row r="8" spans="1:6" ht="18.75" customHeight="1" x14ac:dyDescent="0.2">
      <c r="A8" s="29"/>
      <c r="B8" s="29"/>
      <c r="C8" s="110"/>
      <c r="D8" s="33"/>
    </row>
    <row r="9" spans="1:6" s="117" customFormat="1" ht="18.75" customHeight="1" x14ac:dyDescent="0.2">
      <c r="A9" s="116" t="s">
        <v>205</v>
      </c>
      <c r="B9" s="118"/>
      <c r="C9" s="111">
        <v>290825</v>
      </c>
      <c r="D9" s="104">
        <v>293626</v>
      </c>
      <c r="F9" s="220"/>
    </row>
    <row r="10" spans="1:6" ht="13.5" customHeight="1" x14ac:dyDescent="0.2">
      <c r="A10" s="31" t="s">
        <v>46</v>
      </c>
      <c r="B10" s="29"/>
      <c r="C10" s="112">
        <v>25007</v>
      </c>
      <c r="D10" s="112">
        <v>30449</v>
      </c>
    </row>
    <row r="11" spans="1:6" s="74" customFormat="1" ht="13.5" customHeight="1" x14ac:dyDescent="0.2">
      <c r="A11" s="76" t="s">
        <v>73</v>
      </c>
      <c r="B11" s="75"/>
      <c r="C11" s="113">
        <v>-5013</v>
      </c>
      <c r="D11" s="113">
        <v>-6092</v>
      </c>
    </row>
    <row r="12" spans="1:6" ht="13.5" customHeight="1" x14ac:dyDescent="0.2">
      <c r="A12" s="29"/>
      <c r="B12" s="29"/>
      <c r="C12" s="234">
        <f>SUM(C9:C11)</f>
        <v>310819</v>
      </c>
      <c r="D12" s="234">
        <f>SUM(D9:D11)</f>
        <v>317983</v>
      </c>
    </row>
    <row r="13" spans="1:6" ht="13.5" customHeight="1" x14ac:dyDescent="0.2">
      <c r="A13" s="268" t="s">
        <v>67</v>
      </c>
      <c r="B13" s="269"/>
      <c r="C13" s="112">
        <v>20753</v>
      </c>
      <c r="D13" s="234">
        <v>17797</v>
      </c>
    </row>
    <row r="14" spans="1:6" ht="13.5" customHeight="1" thickBot="1" x14ac:dyDescent="0.25">
      <c r="A14" s="31" t="s">
        <v>36</v>
      </c>
      <c r="B14" s="29"/>
      <c r="C14" s="36">
        <f>C12-C13</f>
        <v>290066</v>
      </c>
      <c r="D14" s="36">
        <f>D12-D13</f>
        <v>300186</v>
      </c>
    </row>
    <row r="15" spans="1:6" ht="13.5" customHeight="1" thickTop="1" x14ac:dyDescent="0.2">
      <c r="A15" s="29"/>
      <c r="B15" s="29"/>
      <c r="C15" s="110"/>
      <c r="D15" s="80"/>
    </row>
    <row r="16" spans="1:6" ht="13.5" customHeight="1" x14ac:dyDescent="0.2">
      <c r="A16" s="31" t="s">
        <v>68</v>
      </c>
      <c r="C16" s="101"/>
      <c r="D16" s="35"/>
    </row>
    <row r="17" spans="1:4" ht="13.5" customHeight="1" x14ac:dyDescent="0.2">
      <c r="A17" s="76" t="s">
        <v>74</v>
      </c>
      <c r="C17" s="114">
        <f>C12-C11</f>
        <v>315832</v>
      </c>
      <c r="D17" s="34">
        <f>D12-D11</f>
        <v>324075</v>
      </c>
    </row>
    <row r="18" spans="1:4" ht="13.5" customHeight="1" x14ac:dyDescent="0.2">
      <c r="A18" s="31" t="s">
        <v>69</v>
      </c>
      <c r="C18" s="115"/>
      <c r="D18" s="35"/>
    </row>
    <row r="19" spans="1:4" ht="13.5" customHeight="1" x14ac:dyDescent="0.2">
      <c r="A19" s="31" t="s">
        <v>16</v>
      </c>
      <c r="C19" s="112">
        <f>'Balance Sheet'!B11</f>
        <v>153020</v>
      </c>
      <c r="D19" s="234">
        <f>'Balance Sheet'!C11</f>
        <v>264937</v>
      </c>
    </row>
    <row r="20" spans="1:4" ht="13.5" customHeight="1" x14ac:dyDescent="0.2">
      <c r="A20" s="31" t="s">
        <v>17</v>
      </c>
      <c r="C20" s="113">
        <f>'Balance Sheet'!B12</f>
        <v>135667</v>
      </c>
      <c r="D20" s="113">
        <f>'Balance Sheet'!C12</f>
        <v>162797</v>
      </c>
    </row>
    <row r="21" spans="1:4" ht="13.5" customHeight="1" x14ac:dyDescent="0.2">
      <c r="A21" s="29"/>
      <c r="C21" s="112">
        <f>+C19+C20</f>
        <v>288687</v>
      </c>
      <c r="D21" s="234">
        <f>+D19+D20</f>
        <v>427734</v>
      </c>
    </row>
    <row r="22" spans="1:4" ht="13.5" customHeight="1" thickBot="1" x14ac:dyDescent="0.25">
      <c r="A22" s="31" t="s">
        <v>70</v>
      </c>
      <c r="C22" s="36">
        <f>+C17-C21</f>
        <v>27145</v>
      </c>
      <c r="D22" s="36">
        <f>+D17-D21</f>
        <v>-103659</v>
      </c>
    </row>
    <row r="23" spans="1:4" ht="18.75" customHeight="1" thickTop="1" x14ac:dyDescent="0.2">
      <c r="C23" s="35"/>
      <c r="D23" s="35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B29" sqref="B29"/>
    </sheetView>
  </sheetViews>
  <sheetFormatPr defaultRowHeight="12.75" x14ac:dyDescent="0.2"/>
  <cols>
    <col min="1" max="1" width="60.1640625" style="128" customWidth="1"/>
    <col min="2" max="2" width="14.33203125" style="128" customWidth="1"/>
    <col min="3" max="3" width="10.1640625" style="128" bestFit="1" customWidth="1"/>
    <col min="4" max="4" width="14.33203125" style="128" customWidth="1"/>
    <col min="5" max="5" width="10.1640625" style="128" customWidth="1"/>
    <col min="6" max="6" width="14.33203125" style="128" customWidth="1"/>
    <col min="7" max="7" width="10.1640625" style="128" customWidth="1"/>
    <col min="8" max="10" width="9.33203125" style="128"/>
    <col min="11" max="11" width="14.1640625" style="128" bestFit="1" customWidth="1"/>
    <col min="12" max="13" width="12.83203125" style="128" bestFit="1" customWidth="1"/>
    <col min="14" max="16384" width="9.33203125" style="128"/>
  </cols>
  <sheetData>
    <row r="1" spans="1:7" ht="15.75" x14ac:dyDescent="0.25">
      <c r="A1" s="270" t="s">
        <v>0</v>
      </c>
      <c r="B1" s="270"/>
      <c r="C1" s="271"/>
      <c r="D1" s="271"/>
      <c r="E1" s="271"/>
      <c r="F1" s="271"/>
      <c r="G1" s="271"/>
    </row>
    <row r="2" spans="1:7" ht="15.75" x14ac:dyDescent="0.25">
      <c r="A2" s="270" t="s">
        <v>82</v>
      </c>
      <c r="B2" s="270"/>
      <c r="C2" s="271"/>
      <c r="D2" s="271"/>
      <c r="E2" s="271"/>
      <c r="F2" s="271"/>
      <c r="G2" s="271"/>
    </row>
    <row r="3" spans="1:7" ht="15.75" x14ac:dyDescent="0.25">
      <c r="A3" s="270" t="s">
        <v>83</v>
      </c>
      <c r="B3" s="270"/>
      <c r="C3" s="271"/>
      <c r="D3" s="271"/>
      <c r="E3" s="271"/>
      <c r="F3" s="271"/>
      <c r="G3" s="271"/>
    </row>
    <row r="4" spans="1:7" x14ac:dyDescent="0.2">
      <c r="A4" s="127"/>
      <c r="B4" s="127"/>
      <c r="C4" s="127"/>
      <c r="D4" s="160"/>
      <c r="E4" s="160"/>
      <c r="F4" s="160"/>
      <c r="G4" s="160"/>
    </row>
    <row r="5" spans="1:7" x14ac:dyDescent="0.2">
      <c r="A5" s="127"/>
      <c r="B5" s="162"/>
      <c r="C5" s="162"/>
      <c r="D5" s="162"/>
      <c r="E5" s="162"/>
      <c r="F5" s="162"/>
      <c r="G5" s="162"/>
    </row>
    <row r="6" spans="1:7" ht="25.5" customHeight="1" x14ac:dyDescent="0.2">
      <c r="A6" s="127"/>
      <c r="B6" s="272" t="s">
        <v>190</v>
      </c>
      <c r="C6" s="272"/>
      <c r="D6" s="272" t="s">
        <v>178</v>
      </c>
      <c r="E6" s="272"/>
      <c r="F6" s="272" t="s">
        <v>189</v>
      </c>
      <c r="G6" s="272"/>
    </row>
    <row r="7" spans="1:7" x14ac:dyDescent="0.2">
      <c r="A7" s="127"/>
      <c r="B7" s="129" t="s">
        <v>2</v>
      </c>
      <c r="C7" s="129"/>
      <c r="D7" s="129" t="s">
        <v>2</v>
      </c>
      <c r="E7" s="129"/>
      <c r="F7" s="129" t="s">
        <v>2</v>
      </c>
      <c r="G7" s="129"/>
    </row>
    <row r="8" spans="1:7" ht="12.75" customHeight="1" x14ac:dyDescent="0.2">
      <c r="A8" s="130" t="s">
        <v>84</v>
      </c>
      <c r="B8" s="231"/>
      <c r="C8" s="131"/>
      <c r="D8" s="131"/>
      <c r="E8" s="131"/>
      <c r="F8" s="131"/>
      <c r="G8" s="131"/>
    </row>
    <row r="9" spans="1:7" ht="12.75" customHeight="1" x14ac:dyDescent="0.2">
      <c r="A9" s="132" t="s">
        <v>85</v>
      </c>
      <c r="B9" s="246">
        <v>18.085646730000001</v>
      </c>
      <c r="C9" s="122"/>
      <c r="D9" s="232">
        <v>22.15612497</v>
      </c>
      <c r="E9" s="122"/>
      <c r="F9" s="122">
        <v>19.520508339999999</v>
      </c>
      <c r="G9" s="122"/>
    </row>
    <row r="10" spans="1:7" ht="12.75" customHeight="1" x14ac:dyDescent="0.2">
      <c r="A10" s="132"/>
      <c r="B10" s="247"/>
      <c r="C10" s="119"/>
      <c r="D10" s="119"/>
      <c r="E10" s="119"/>
      <c r="F10" s="119"/>
      <c r="G10" s="119"/>
    </row>
    <row r="11" spans="1:7" ht="12.75" customHeight="1" x14ac:dyDescent="0.2">
      <c r="A11" s="132" t="s">
        <v>86</v>
      </c>
      <c r="B11" s="248">
        <v>218.33716984</v>
      </c>
      <c r="C11" s="156">
        <f>B11/B9</f>
        <v>12.072400456535954</v>
      </c>
      <c r="D11" s="120">
        <v>266.387</v>
      </c>
      <c r="E11" s="156">
        <f>D11/D9</f>
        <v>12.023176451689782</v>
      </c>
      <c r="F11" s="120">
        <v>231.9</v>
      </c>
      <c r="G11" s="156">
        <f>ROUND(F11/F9,2)</f>
        <v>11.88</v>
      </c>
    </row>
    <row r="12" spans="1:7" ht="12.75" customHeight="1" x14ac:dyDescent="0.2">
      <c r="A12" s="132" t="s">
        <v>87</v>
      </c>
      <c r="B12" s="249">
        <v>193.59541813999999</v>
      </c>
      <c r="C12" s="133">
        <f>B12/B9</f>
        <v>10.704368001331627</v>
      </c>
      <c r="D12" s="121">
        <v>216.44200000000001</v>
      </c>
      <c r="E12" s="133">
        <f>D12/D9</f>
        <v>9.7689465235039243</v>
      </c>
      <c r="F12" s="121">
        <v>208.1</v>
      </c>
      <c r="G12" s="133">
        <f>ROUND(F12/F9,2)</f>
        <v>10.66</v>
      </c>
    </row>
    <row r="13" spans="1:7" ht="12.75" customHeight="1" x14ac:dyDescent="0.2">
      <c r="A13" s="132" t="s">
        <v>88</v>
      </c>
      <c r="B13" s="122">
        <f t="shared" ref="B13:G13" si="0">B11-B12</f>
        <v>24.741751700000009</v>
      </c>
      <c r="C13" s="134">
        <f>C11-C12</f>
        <v>1.368032455204327</v>
      </c>
      <c r="D13" s="122">
        <f t="shared" si="0"/>
        <v>49.944999999999993</v>
      </c>
      <c r="E13" s="134">
        <f>E11-E12</f>
        <v>2.2542299281858575</v>
      </c>
      <c r="F13" s="122">
        <f t="shared" si="0"/>
        <v>23.800000000000011</v>
      </c>
      <c r="G13" s="134">
        <f t="shared" si="0"/>
        <v>1.2200000000000006</v>
      </c>
    </row>
    <row r="14" spans="1:7" ht="12.75" customHeight="1" x14ac:dyDescent="0.2">
      <c r="A14" s="132"/>
      <c r="B14" s="119"/>
      <c r="C14" s="119"/>
      <c r="D14" s="119"/>
      <c r="E14" s="119"/>
      <c r="F14" s="119"/>
      <c r="G14" s="119"/>
    </row>
    <row r="15" spans="1:7" ht="12.75" customHeight="1" x14ac:dyDescent="0.2">
      <c r="A15" s="130" t="s">
        <v>89</v>
      </c>
      <c r="B15" s="131"/>
      <c r="C15" s="131"/>
      <c r="D15" s="131"/>
      <c r="E15" s="131"/>
      <c r="F15" s="131"/>
      <c r="G15" s="131"/>
    </row>
    <row r="16" spans="1:7" ht="12.75" customHeight="1" x14ac:dyDescent="0.2">
      <c r="A16" s="132" t="s">
        <v>85</v>
      </c>
      <c r="B16" s="246">
        <v>1.99976099</v>
      </c>
      <c r="C16" s="119"/>
      <c r="D16" s="232">
        <v>2.0839496899999999</v>
      </c>
      <c r="E16" s="119"/>
      <c r="F16" s="122">
        <v>2.0886522799999998</v>
      </c>
      <c r="G16" s="119"/>
    </row>
    <row r="17" spans="1:7" ht="12.75" customHeight="1" x14ac:dyDescent="0.2">
      <c r="A17" s="132"/>
      <c r="B17" s="247"/>
      <c r="C17" s="119"/>
      <c r="D17" s="222"/>
      <c r="E17" s="119"/>
      <c r="F17" s="222"/>
      <c r="G17" s="119"/>
    </row>
    <row r="18" spans="1:7" ht="12.75" customHeight="1" x14ac:dyDescent="0.2">
      <c r="A18" s="132" t="s">
        <v>86</v>
      </c>
      <c r="B18" s="248">
        <v>181.00091730999998</v>
      </c>
      <c r="C18" s="156">
        <f>B18/B16</f>
        <v>90.51127520494336</v>
      </c>
      <c r="D18" s="120">
        <v>206.07300000000001</v>
      </c>
      <c r="E18" s="156">
        <f>D18/D16</f>
        <v>98.885784521986238</v>
      </c>
      <c r="F18" s="120">
        <v>253.84</v>
      </c>
      <c r="G18" s="156">
        <f>ROUND(F18/F16,2)</f>
        <v>121.53</v>
      </c>
    </row>
    <row r="19" spans="1:7" ht="12.75" customHeight="1" x14ac:dyDescent="0.2">
      <c r="A19" s="132" t="s">
        <v>87</v>
      </c>
      <c r="B19" s="249">
        <v>140.02726720999999</v>
      </c>
      <c r="C19" s="133">
        <f>B19/B16</f>
        <v>70.022001584299332</v>
      </c>
      <c r="D19" s="121">
        <v>135.22300000000001</v>
      </c>
      <c r="E19" s="133">
        <f>D19/D16</f>
        <v>64.887842853826299</v>
      </c>
      <c r="F19" s="121">
        <v>156.31299999999999</v>
      </c>
      <c r="G19" s="133">
        <f>ROUND(F19/F16,2)</f>
        <v>74.84</v>
      </c>
    </row>
    <row r="20" spans="1:7" ht="12.75" customHeight="1" x14ac:dyDescent="0.2">
      <c r="A20" s="132" t="s">
        <v>88</v>
      </c>
      <c r="B20" s="122">
        <f>B18-B19</f>
        <v>40.973650099999986</v>
      </c>
      <c r="C20" s="134">
        <f>C18-C19</f>
        <v>20.489273620644028</v>
      </c>
      <c r="D20" s="122">
        <f>D18-D19</f>
        <v>70.849999999999994</v>
      </c>
      <c r="E20" s="134">
        <f>E18-E19</f>
        <v>33.997941668159939</v>
      </c>
      <c r="F20" s="122">
        <f t="shared" ref="F20:G20" si="1">F18-F19</f>
        <v>97.527000000000015</v>
      </c>
      <c r="G20" s="134">
        <f t="shared" si="1"/>
        <v>46.69</v>
      </c>
    </row>
    <row r="21" spans="1:7" ht="12.75" customHeight="1" x14ac:dyDescent="0.2">
      <c r="A21" s="130"/>
      <c r="B21" s="131"/>
      <c r="C21" s="131"/>
      <c r="D21" s="131"/>
      <c r="E21" s="131"/>
      <c r="F21" s="131"/>
      <c r="G21" s="131"/>
    </row>
    <row r="22" spans="1:7" ht="12.75" customHeight="1" x14ac:dyDescent="0.2">
      <c r="A22" s="130" t="s">
        <v>90</v>
      </c>
      <c r="B22" s="131"/>
      <c r="C22" s="131"/>
      <c r="D22" s="131"/>
      <c r="E22" s="131"/>
      <c r="F22" s="131"/>
      <c r="G22" s="131"/>
    </row>
    <row r="23" spans="1:7" ht="12.75" customHeight="1" x14ac:dyDescent="0.2">
      <c r="A23" s="132" t="s">
        <v>85</v>
      </c>
      <c r="B23" s="246">
        <v>2.12887812</v>
      </c>
      <c r="C23" s="119"/>
      <c r="D23" s="232">
        <v>1.98641259</v>
      </c>
      <c r="E23" s="119"/>
      <c r="F23" s="122">
        <v>2.3400226499999999</v>
      </c>
      <c r="G23" s="119"/>
    </row>
    <row r="24" spans="1:7" ht="12.75" customHeight="1" x14ac:dyDescent="0.2">
      <c r="A24" s="132"/>
      <c r="B24" s="247"/>
      <c r="C24" s="119"/>
      <c r="D24" s="119"/>
      <c r="E24" s="119"/>
      <c r="F24" s="119"/>
      <c r="G24" s="119"/>
    </row>
    <row r="25" spans="1:7" ht="12.75" customHeight="1" x14ac:dyDescent="0.2">
      <c r="A25" s="132" t="s">
        <v>86</v>
      </c>
      <c r="B25" s="248">
        <v>75.375668390000001</v>
      </c>
      <c r="C25" s="156">
        <f>B25/B23</f>
        <v>35.406286382425691</v>
      </c>
      <c r="D25" s="120">
        <v>78.504000000000005</v>
      </c>
      <c r="E25" s="156">
        <f>D25/D23</f>
        <v>39.520490554281075</v>
      </c>
      <c r="F25" s="120">
        <v>81.64</v>
      </c>
      <c r="G25" s="156">
        <f>ROUND(F25/F23,2)</f>
        <v>34.89</v>
      </c>
    </row>
    <row r="26" spans="1:7" ht="12.75" customHeight="1" x14ac:dyDescent="0.2">
      <c r="A26" s="132" t="s">
        <v>87</v>
      </c>
      <c r="B26" s="249">
        <v>67.716016150000002</v>
      </c>
      <c r="C26" s="133">
        <f>B26/B23</f>
        <v>31.808310449449309</v>
      </c>
      <c r="D26" s="121">
        <v>61.896000000000001</v>
      </c>
      <c r="E26" s="133">
        <f>D26/D23</f>
        <v>31.159689739984984</v>
      </c>
      <c r="F26" s="121">
        <v>67.3</v>
      </c>
      <c r="G26" s="133">
        <f>ROUND(F26/F23,2)</f>
        <v>28.76</v>
      </c>
    </row>
    <row r="27" spans="1:7" ht="12.75" customHeight="1" x14ac:dyDescent="0.2">
      <c r="A27" s="132" t="s">
        <v>88</v>
      </c>
      <c r="B27" s="122">
        <f t="shared" ref="B27:G27" si="2">B25-B26</f>
        <v>7.6596522399999998</v>
      </c>
      <c r="C27" s="134">
        <f>C25-C26</f>
        <v>3.5979759329763823</v>
      </c>
      <c r="D27" s="122">
        <f t="shared" si="2"/>
        <v>16.608000000000004</v>
      </c>
      <c r="E27" s="134">
        <f>E25-E26</f>
        <v>8.3608008142960912</v>
      </c>
      <c r="F27" s="122">
        <f t="shared" si="2"/>
        <v>14.340000000000003</v>
      </c>
      <c r="G27" s="134">
        <f t="shared" si="2"/>
        <v>6.129999999999999</v>
      </c>
    </row>
    <row r="28" spans="1:7" ht="12.75" customHeight="1" x14ac:dyDescent="0.2">
      <c r="A28" s="130"/>
      <c r="B28" s="131"/>
      <c r="C28" s="131"/>
      <c r="D28" s="131"/>
      <c r="E28" s="131"/>
      <c r="F28" s="131"/>
      <c r="G28" s="131"/>
    </row>
    <row r="29" spans="1:7" ht="12.75" customHeight="1" x14ac:dyDescent="0.2">
      <c r="A29" s="130" t="s">
        <v>91</v>
      </c>
      <c r="B29" s="120">
        <f>B13+B20+B27</f>
        <v>73.375054039999995</v>
      </c>
      <c r="C29" s="131"/>
      <c r="D29" s="120">
        <f>D13+D20+D27</f>
        <v>137.40299999999999</v>
      </c>
      <c r="E29" s="131"/>
      <c r="F29" s="120">
        <f>F13+F20+F27-0.02</f>
        <v>135.64700000000002</v>
      </c>
      <c r="G29" s="131"/>
    </row>
    <row r="30" spans="1:7" ht="12.75" customHeight="1" x14ac:dyDescent="0.2">
      <c r="A30" s="130"/>
      <c r="B30" s="131"/>
      <c r="C30" s="131"/>
      <c r="D30" s="131"/>
      <c r="E30" s="131"/>
      <c r="F30" s="131"/>
      <c r="G30" s="131"/>
    </row>
    <row r="31" spans="1:7" ht="12.75" customHeight="1" x14ac:dyDescent="0.2">
      <c r="A31" s="130" t="s">
        <v>7</v>
      </c>
      <c r="B31" s="122">
        <v>-21.9</v>
      </c>
      <c r="C31" s="131"/>
      <c r="D31" s="122">
        <v>-24.6</v>
      </c>
      <c r="E31" s="131"/>
      <c r="F31" s="122">
        <v>-26.7</v>
      </c>
      <c r="G31" s="131"/>
    </row>
    <row r="32" spans="1:7" ht="12.75" customHeight="1" x14ac:dyDescent="0.2">
      <c r="A32" s="130" t="s">
        <v>46</v>
      </c>
      <c r="B32" s="121">
        <v>-7.8</v>
      </c>
      <c r="C32" s="131"/>
      <c r="D32" s="121">
        <v>-6.2</v>
      </c>
      <c r="E32" s="131"/>
      <c r="F32" s="121">
        <v>13.7</v>
      </c>
      <c r="G32" s="131"/>
    </row>
    <row r="33" spans="1:7" ht="12.75" customHeight="1" x14ac:dyDescent="0.2">
      <c r="A33" s="130"/>
      <c r="B33" s="131"/>
      <c r="C33" s="131"/>
      <c r="D33" s="131"/>
      <c r="E33" s="131"/>
      <c r="F33" s="131"/>
      <c r="G33" s="131"/>
    </row>
    <row r="34" spans="1:7" ht="12.75" customHeight="1" thickBot="1" x14ac:dyDescent="0.25">
      <c r="A34" s="130" t="s">
        <v>140</v>
      </c>
      <c r="B34" s="135">
        <f>SUM(B29:B32)</f>
        <v>43.675054039999999</v>
      </c>
      <c r="C34" s="131"/>
      <c r="D34" s="135">
        <f>SUM(D29:D32)</f>
        <v>106.60299999999999</v>
      </c>
      <c r="E34" s="131"/>
      <c r="F34" s="135">
        <f>SUM(F29:F32)</f>
        <v>122.64700000000002</v>
      </c>
      <c r="G34" s="131"/>
    </row>
    <row r="35" spans="1:7" ht="12.75" customHeight="1" thickTop="1" x14ac:dyDescent="0.2">
      <c r="A35" s="130"/>
      <c r="B35" s="157"/>
      <c r="C35" s="131"/>
      <c r="D35" s="131"/>
      <c r="E35" s="131"/>
      <c r="F35" s="131"/>
      <c r="G35" s="131"/>
    </row>
    <row r="36" spans="1:7" ht="12.75" customHeight="1" x14ac:dyDescent="0.2">
      <c r="A36" s="139"/>
      <c r="B36" s="131"/>
      <c r="C36" s="131"/>
      <c r="D36" s="131"/>
      <c r="E36" s="131"/>
      <c r="F36" s="131"/>
      <c r="G36" s="131"/>
    </row>
    <row r="37" spans="1:7" x14ac:dyDescent="0.2">
      <c r="A37" s="130"/>
      <c r="B37" s="140"/>
      <c r="C37" s="130"/>
      <c r="D37" s="130"/>
      <c r="E37" s="130"/>
      <c r="F37" s="130"/>
      <c r="G37" s="130"/>
    </row>
    <row r="38" spans="1:7" x14ac:dyDescent="0.2">
      <c r="A38" s="130"/>
      <c r="B38" s="130"/>
      <c r="C38" s="130"/>
      <c r="D38" s="130"/>
      <c r="E38" s="130"/>
      <c r="F38" s="130"/>
      <c r="G38" s="130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38" formulaRange="1"/>
    <ignoredError sqref="D13 D20 D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workbookViewId="0">
      <selection activeCell="A8" sqref="A8"/>
    </sheetView>
  </sheetViews>
  <sheetFormatPr defaultRowHeight="12.75" x14ac:dyDescent="0.2"/>
  <cols>
    <col min="1" max="1" width="59.6640625" style="128" bestFit="1" customWidth="1"/>
    <col min="2" max="6" width="20.83203125" style="128" customWidth="1"/>
    <col min="7" max="7" width="9.33203125" style="128"/>
    <col min="8" max="8" width="14.33203125" style="128" customWidth="1"/>
    <col min="9" max="16384" width="9.33203125" style="128"/>
  </cols>
  <sheetData>
    <row r="1" spans="1:9" ht="15.75" x14ac:dyDescent="0.25">
      <c r="A1" s="270" t="s">
        <v>0</v>
      </c>
      <c r="B1" s="270"/>
      <c r="C1" s="271"/>
      <c r="D1" s="271"/>
      <c r="E1" s="271"/>
      <c r="F1" s="271"/>
      <c r="G1" s="271"/>
      <c r="H1" s="274"/>
      <c r="I1" s="274"/>
    </row>
    <row r="2" spans="1:9" ht="15.75" x14ac:dyDescent="0.25">
      <c r="A2" s="270" t="s">
        <v>112</v>
      </c>
      <c r="B2" s="270"/>
      <c r="C2" s="271"/>
      <c r="D2" s="271"/>
      <c r="E2" s="271"/>
      <c r="F2" s="271"/>
      <c r="G2" s="271"/>
      <c r="H2" s="275"/>
      <c r="I2" s="271"/>
    </row>
    <row r="3" spans="1:9" ht="15.75" x14ac:dyDescent="0.25">
      <c r="A3" s="270" t="s">
        <v>177</v>
      </c>
      <c r="B3" s="270"/>
      <c r="C3" s="271"/>
      <c r="D3" s="271"/>
      <c r="E3" s="271"/>
      <c r="F3" s="271"/>
      <c r="G3" s="271"/>
      <c r="H3" s="275"/>
      <c r="I3" s="271"/>
    </row>
    <row r="4" spans="1:9" x14ac:dyDescent="0.2">
      <c r="A4" s="160"/>
      <c r="B4" s="160"/>
      <c r="C4" s="160"/>
      <c r="D4" s="160"/>
      <c r="E4" s="160"/>
      <c r="F4" s="160"/>
      <c r="G4" s="160"/>
      <c r="H4" s="160"/>
      <c r="I4" s="160"/>
    </row>
    <row r="5" spans="1:9" x14ac:dyDescent="0.2">
      <c r="A5" s="268" t="s">
        <v>45</v>
      </c>
      <c r="B5" s="265"/>
      <c r="C5" s="265"/>
      <c r="D5" s="265"/>
      <c r="E5" s="265"/>
      <c r="F5" s="265"/>
      <c r="G5" s="187"/>
      <c r="H5" s="187"/>
      <c r="I5" s="187"/>
    </row>
    <row r="6" spans="1:9" x14ac:dyDescent="0.2">
      <c r="A6" s="268" t="s">
        <v>128</v>
      </c>
      <c r="B6" s="265"/>
      <c r="C6" s="265"/>
      <c r="D6" s="265"/>
      <c r="E6" s="265"/>
      <c r="F6" s="265"/>
      <c r="G6" s="187"/>
      <c r="H6" s="187"/>
      <c r="I6" s="187"/>
    </row>
    <row r="7" spans="1:9" x14ac:dyDescent="0.2">
      <c r="A7" s="187"/>
      <c r="B7" s="187"/>
      <c r="C7" s="187"/>
      <c r="D7" s="187"/>
      <c r="E7" s="187"/>
      <c r="F7" s="187"/>
      <c r="G7" s="187"/>
      <c r="H7" s="187"/>
      <c r="I7" s="187"/>
    </row>
    <row r="8" spans="1:9" x14ac:dyDescent="0.2">
      <c r="A8" s="183" t="s">
        <v>129</v>
      </c>
      <c r="B8" s="181"/>
      <c r="C8" s="181"/>
      <c r="D8" s="181"/>
      <c r="E8" s="181"/>
      <c r="F8" s="181"/>
    </row>
    <row r="9" spans="1:9" x14ac:dyDescent="0.2">
      <c r="A9" s="273"/>
      <c r="B9" s="273"/>
      <c r="C9" s="273"/>
      <c r="D9" s="273"/>
      <c r="E9" s="273"/>
      <c r="F9" s="273"/>
    </row>
    <row r="10" spans="1:9" x14ac:dyDescent="0.2">
      <c r="A10" s="184" t="s">
        <v>130</v>
      </c>
      <c r="B10" s="184"/>
      <c r="C10" s="184"/>
      <c r="D10" s="184"/>
      <c r="E10" s="184"/>
      <c r="F10" s="184"/>
    </row>
    <row r="11" spans="1:9" x14ac:dyDescent="0.2">
      <c r="A11" s="184" t="s">
        <v>154</v>
      </c>
      <c r="B11" s="182"/>
      <c r="C11" s="182"/>
      <c r="D11" s="182"/>
      <c r="E11" s="182"/>
      <c r="F11" s="182"/>
    </row>
    <row r="12" spans="1:9" ht="12.75" customHeight="1" x14ac:dyDescent="0.2">
      <c r="A12" s="185" t="s">
        <v>161</v>
      </c>
      <c r="B12" s="186"/>
      <c r="C12" s="186"/>
      <c r="D12" s="186"/>
      <c r="E12" s="186"/>
      <c r="F12" s="186"/>
    </row>
    <row r="13" spans="1:9" x14ac:dyDescent="0.2">
      <c r="A13" s="185" t="s">
        <v>155</v>
      </c>
      <c r="B13" s="186"/>
      <c r="C13" s="186"/>
      <c r="D13" s="186"/>
      <c r="E13" s="186"/>
      <c r="F13" s="186"/>
    </row>
    <row r="14" spans="1:9" x14ac:dyDescent="0.2">
      <c r="A14" s="185" t="s">
        <v>156</v>
      </c>
      <c r="B14" s="186"/>
      <c r="C14" s="186"/>
      <c r="D14" s="186"/>
      <c r="E14" s="186"/>
      <c r="F14" s="186"/>
    </row>
    <row r="15" spans="1:9" x14ac:dyDescent="0.2">
      <c r="A15" s="185" t="s">
        <v>157</v>
      </c>
      <c r="B15" s="186"/>
      <c r="C15" s="186"/>
      <c r="D15" s="186"/>
      <c r="E15" s="186"/>
      <c r="F15" s="186"/>
    </row>
    <row r="16" spans="1:9" x14ac:dyDescent="0.2">
      <c r="A16" s="171" t="s">
        <v>158</v>
      </c>
    </row>
    <row r="18" spans="1:6" ht="30" x14ac:dyDescent="0.25">
      <c r="A18" s="163" t="s">
        <v>191</v>
      </c>
      <c r="B18" s="164" t="s">
        <v>84</v>
      </c>
      <c r="C18" s="165" t="s">
        <v>89</v>
      </c>
      <c r="D18" s="165" t="s">
        <v>90</v>
      </c>
      <c r="E18" s="165" t="s">
        <v>113</v>
      </c>
      <c r="F18" s="166" t="s">
        <v>114</v>
      </c>
    </row>
    <row r="19" spans="1:6" x14ac:dyDescent="0.2">
      <c r="A19" s="159" t="s">
        <v>13</v>
      </c>
      <c r="B19" s="167"/>
      <c r="C19" s="168"/>
      <c r="D19" s="168"/>
      <c r="E19" s="168"/>
      <c r="F19" s="168"/>
    </row>
    <row r="20" spans="1:6" x14ac:dyDescent="0.2">
      <c r="A20" s="159" t="s">
        <v>159</v>
      </c>
      <c r="B20" s="172">
        <v>222904</v>
      </c>
      <c r="C20" s="172">
        <v>221551</v>
      </c>
      <c r="D20" s="172">
        <v>98967</v>
      </c>
      <c r="E20" s="172">
        <v>6058</v>
      </c>
      <c r="F20" s="172">
        <f>SUM(B20:E20)</f>
        <v>549480</v>
      </c>
    </row>
    <row r="21" spans="1:6" ht="25.5" x14ac:dyDescent="0.2">
      <c r="A21" s="159" t="s">
        <v>115</v>
      </c>
      <c r="B21" s="172"/>
      <c r="C21" s="172"/>
      <c r="D21" s="172"/>
      <c r="E21" s="172"/>
      <c r="F21" s="172"/>
    </row>
    <row r="22" spans="1:6" ht="25.5" x14ac:dyDescent="0.2">
      <c r="A22" s="170" t="s">
        <v>116</v>
      </c>
      <c r="B22" s="215">
        <v>0</v>
      </c>
      <c r="C22" s="199">
        <v>-616</v>
      </c>
      <c r="D22" s="199">
        <v>-3258</v>
      </c>
      <c r="E22" s="199">
        <v>0</v>
      </c>
      <c r="F22" s="215">
        <f>SUM(B22:E22)</f>
        <v>-3874</v>
      </c>
    </row>
    <row r="23" spans="1:6" ht="25.5" x14ac:dyDescent="0.2">
      <c r="A23" s="170" t="s">
        <v>117</v>
      </c>
      <c r="B23" s="215">
        <v>0</v>
      </c>
      <c r="C23" s="199">
        <v>0</v>
      </c>
      <c r="D23" s="199">
        <v>0</v>
      </c>
      <c r="E23" s="199">
        <v>6026</v>
      </c>
      <c r="F23" s="215">
        <f>SUM(B23:E23)</f>
        <v>6026</v>
      </c>
    </row>
    <row r="24" spans="1:6" x14ac:dyDescent="0.2">
      <c r="A24" s="170" t="s">
        <v>118</v>
      </c>
      <c r="B24" s="215">
        <v>4567</v>
      </c>
      <c r="C24" s="199">
        <v>41165</v>
      </c>
      <c r="D24" s="199">
        <v>26849</v>
      </c>
      <c r="E24" s="199">
        <v>32</v>
      </c>
      <c r="F24" s="215">
        <f>SUM(B24:E24)</f>
        <v>72613</v>
      </c>
    </row>
    <row r="25" spans="1:6" x14ac:dyDescent="0.2">
      <c r="A25" s="159" t="s">
        <v>119</v>
      </c>
      <c r="B25" s="200">
        <f>B20-SUM(B22:B24)</f>
        <v>218337</v>
      </c>
      <c r="C25" s="200">
        <f t="shared" ref="C25:E25" si="0">C20-SUM(C22:C24)</f>
        <v>181002</v>
      </c>
      <c r="D25" s="200">
        <f t="shared" si="0"/>
        <v>75376</v>
      </c>
      <c r="E25" s="200">
        <f t="shared" si="0"/>
        <v>0</v>
      </c>
      <c r="F25" s="200">
        <f>F20-SUM(F22:F24)</f>
        <v>474715</v>
      </c>
    </row>
    <row r="26" spans="1:6" x14ac:dyDescent="0.2">
      <c r="A26" s="159" t="s">
        <v>120</v>
      </c>
      <c r="B26" s="247">
        <f>18.08564673*1000</f>
        <v>18085.64673</v>
      </c>
      <c r="C26" s="247">
        <f>1.99976099*1000</f>
        <v>1999.76099</v>
      </c>
      <c r="D26" s="247">
        <f>2.12887812*1000</f>
        <v>2128.8781199999999</v>
      </c>
      <c r="E26" s="172"/>
      <c r="F26" s="172"/>
    </row>
    <row r="27" spans="1:6" x14ac:dyDescent="0.2">
      <c r="A27" s="159" t="s">
        <v>121</v>
      </c>
      <c r="B27" s="201">
        <f>B25/B26</f>
        <v>12.072391065663593</v>
      </c>
      <c r="C27" s="201">
        <f>C25/C26</f>
        <v>90.51181661464453</v>
      </c>
      <c r="D27" s="201">
        <f t="shared" ref="D27" si="1">D25/D26</f>
        <v>35.406442149915094</v>
      </c>
      <c r="E27" s="172"/>
      <c r="F27" s="172"/>
    </row>
    <row r="28" spans="1:6" x14ac:dyDescent="0.2">
      <c r="A28" s="171"/>
      <c r="B28" s="232"/>
      <c r="C28" s="171"/>
      <c r="D28" s="171"/>
      <c r="E28" s="171"/>
      <c r="F28" s="171"/>
    </row>
    <row r="29" spans="1:6" x14ac:dyDescent="0.2">
      <c r="A29" s="171"/>
      <c r="B29" s="171"/>
      <c r="C29" s="171"/>
      <c r="D29" s="171"/>
      <c r="E29" s="171"/>
      <c r="F29" s="171"/>
    </row>
    <row r="30" spans="1:6" ht="30" x14ac:dyDescent="0.25">
      <c r="A30" s="163" t="s">
        <v>179</v>
      </c>
      <c r="B30" s="203" t="s">
        <v>84</v>
      </c>
      <c r="C30" s="204" t="s">
        <v>89</v>
      </c>
      <c r="D30" s="204" t="s">
        <v>90</v>
      </c>
      <c r="E30" s="204" t="s">
        <v>113</v>
      </c>
      <c r="F30" s="205" t="s">
        <v>114</v>
      </c>
    </row>
    <row r="31" spans="1:6" x14ac:dyDescent="0.2">
      <c r="A31" s="195" t="s">
        <v>13</v>
      </c>
      <c r="B31" s="206"/>
      <c r="C31" s="207"/>
      <c r="D31" s="207"/>
      <c r="E31" s="207"/>
      <c r="F31" s="207"/>
    </row>
    <row r="32" spans="1:6" x14ac:dyDescent="0.2">
      <c r="A32" s="195" t="s">
        <v>159</v>
      </c>
      <c r="B32" s="172">
        <v>269968</v>
      </c>
      <c r="C32" s="172">
        <v>254493</v>
      </c>
      <c r="D32" s="172">
        <v>94052</v>
      </c>
      <c r="E32" s="172">
        <v>954</v>
      </c>
      <c r="F32" s="172">
        <f>SUM(B32:E32)</f>
        <v>619467</v>
      </c>
    </row>
    <row r="33" spans="1:6" ht="25.5" x14ac:dyDescent="0.2">
      <c r="A33" s="195" t="s">
        <v>115</v>
      </c>
      <c r="B33" s="172"/>
      <c r="C33" s="172"/>
      <c r="D33" s="172"/>
      <c r="E33" s="172"/>
      <c r="F33" s="172"/>
    </row>
    <row r="34" spans="1:6" ht="25.5" x14ac:dyDescent="0.2">
      <c r="A34" s="208" t="s">
        <v>116</v>
      </c>
      <c r="B34" s="215">
        <v>0</v>
      </c>
      <c r="C34" s="199">
        <v>-506</v>
      </c>
      <c r="D34" s="199">
        <v>-4533</v>
      </c>
      <c r="E34" s="199">
        <v>0</v>
      </c>
      <c r="F34" s="215">
        <f>SUM(B34:E34)</f>
        <v>-5039</v>
      </c>
    </row>
    <row r="35" spans="1:6" ht="25.5" x14ac:dyDescent="0.2">
      <c r="A35" s="208" t="s">
        <v>117</v>
      </c>
      <c r="B35" s="215">
        <v>0</v>
      </c>
      <c r="C35" s="199">
        <v>0</v>
      </c>
      <c r="D35" s="199">
        <v>0</v>
      </c>
      <c r="E35" s="199">
        <v>954</v>
      </c>
      <c r="F35" s="198">
        <f>SUM(B35:E35)</f>
        <v>954</v>
      </c>
    </row>
    <row r="36" spans="1:6" x14ac:dyDescent="0.2">
      <c r="A36" s="208" t="s">
        <v>118</v>
      </c>
      <c r="B36" s="215">
        <v>3581</v>
      </c>
      <c r="C36" s="199">
        <v>48925</v>
      </c>
      <c r="D36" s="199">
        <v>20080</v>
      </c>
      <c r="E36" s="199">
        <v>0</v>
      </c>
      <c r="F36" s="198">
        <f>SUM(B36:E36)</f>
        <v>72586</v>
      </c>
    </row>
    <row r="37" spans="1:6" x14ac:dyDescent="0.2">
      <c r="A37" s="195" t="s">
        <v>119</v>
      </c>
      <c r="B37" s="200">
        <f>B32-SUM(B34:B36)</f>
        <v>266387</v>
      </c>
      <c r="C37" s="200">
        <f t="shared" ref="C37" si="2">C32-SUM(C34:C36)</f>
        <v>206074</v>
      </c>
      <c r="D37" s="200">
        <f t="shared" ref="D37" si="3">D32-SUM(D34:D36)</f>
        <v>78505</v>
      </c>
      <c r="E37" s="200">
        <f t="shared" ref="E37" si="4">E32-SUM(E34:E36)</f>
        <v>0</v>
      </c>
      <c r="F37" s="200">
        <f>F32-SUM(F34:F36)</f>
        <v>550966</v>
      </c>
    </row>
    <row r="38" spans="1:6" x14ac:dyDescent="0.2">
      <c r="A38" s="195" t="s">
        <v>120</v>
      </c>
      <c r="B38" s="215">
        <v>22156.124970000001</v>
      </c>
      <c r="C38" s="215">
        <v>2083.9496899999999</v>
      </c>
      <c r="D38" s="215">
        <v>1986.4125899999999</v>
      </c>
      <c r="E38" s="172"/>
      <c r="F38" s="172"/>
    </row>
    <row r="39" spans="1:6" x14ac:dyDescent="0.2">
      <c r="A39" s="195" t="s">
        <v>121</v>
      </c>
      <c r="B39" s="201">
        <f>B37/B38</f>
        <v>12.023176451689782</v>
      </c>
      <c r="C39" s="201">
        <f t="shared" ref="C39:D39" si="5">C37/C38</f>
        <v>98.886264380019654</v>
      </c>
      <c r="D39" s="201">
        <f t="shared" si="5"/>
        <v>39.520993974368643</v>
      </c>
      <c r="E39" s="172"/>
      <c r="F39" s="172"/>
    </row>
    <row r="40" spans="1:6" x14ac:dyDescent="0.2">
      <c r="A40" s="158"/>
      <c r="B40" s="172"/>
      <c r="C40" s="172"/>
      <c r="D40" s="172"/>
      <c r="E40" s="172"/>
      <c r="F40" s="172"/>
    </row>
    <row r="41" spans="1:6" ht="15" x14ac:dyDescent="0.25">
      <c r="A41" s="173"/>
      <c r="B41" s="174"/>
      <c r="C41" s="175"/>
      <c r="D41" s="176"/>
      <c r="E41" s="176"/>
      <c r="F41" s="175"/>
    </row>
    <row r="42" spans="1:6" ht="30" x14ac:dyDescent="0.25">
      <c r="A42" s="163" t="s">
        <v>192</v>
      </c>
      <c r="B42" s="164" t="s">
        <v>84</v>
      </c>
      <c r="C42" s="165" t="s">
        <v>89</v>
      </c>
      <c r="D42" s="165" t="s">
        <v>90</v>
      </c>
      <c r="E42" s="165" t="s">
        <v>113</v>
      </c>
      <c r="F42" s="166" t="s">
        <v>114</v>
      </c>
    </row>
    <row r="43" spans="1:6" x14ac:dyDescent="0.2">
      <c r="A43" s="159" t="s">
        <v>13</v>
      </c>
      <c r="B43" s="167"/>
      <c r="C43" s="168"/>
      <c r="D43" s="168"/>
      <c r="E43" s="168"/>
      <c r="F43" s="168"/>
    </row>
    <row r="44" spans="1:6" x14ac:dyDescent="0.2">
      <c r="A44" s="159" t="s">
        <v>160</v>
      </c>
      <c r="B44" s="172">
        <v>236014</v>
      </c>
      <c r="C44" s="172">
        <v>302916</v>
      </c>
      <c r="D44" s="172">
        <v>106887</v>
      </c>
      <c r="E44" s="172">
        <v>5146</v>
      </c>
      <c r="F44" s="172">
        <f>SUM(B44:E44)</f>
        <v>650963</v>
      </c>
    </row>
    <row r="45" spans="1:6" ht="25.5" x14ac:dyDescent="0.2">
      <c r="A45" s="159" t="s">
        <v>115</v>
      </c>
      <c r="B45" s="172"/>
      <c r="C45" s="172"/>
      <c r="D45" s="172"/>
      <c r="E45" s="172"/>
      <c r="F45" s="172"/>
    </row>
    <row r="46" spans="1:6" ht="25.5" x14ac:dyDescent="0.2">
      <c r="A46" s="170" t="s">
        <v>116</v>
      </c>
      <c r="B46" s="215">
        <v>0</v>
      </c>
      <c r="C46" s="199">
        <v>0</v>
      </c>
      <c r="D46" s="199">
        <v>3516</v>
      </c>
      <c r="E46" s="199">
        <v>0</v>
      </c>
      <c r="F46" s="215">
        <f>SUM(B46:E46)</f>
        <v>3516</v>
      </c>
    </row>
    <row r="47" spans="1:6" ht="25.5" x14ac:dyDescent="0.2">
      <c r="A47" s="170" t="s">
        <v>117</v>
      </c>
      <c r="B47" s="215">
        <v>0</v>
      </c>
      <c r="C47" s="199">
        <v>0</v>
      </c>
      <c r="D47" s="199">
        <v>0</v>
      </c>
      <c r="E47" s="199">
        <v>5146</v>
      </c>
      <c r="F47" s="215">
        <f>SUM(B47:E47)</f>
        <v>5146</v>
      </c>
    </row>
    <row r="48" spans="1:6" x14ac:dyDescent="0.2">
      <c r="A48" s="170" t="s">
        <v>118</v>
      </c>
      <c r="B48" s="215">
        <v>4142</v>
      </c>
      <c r="C48" s="199">
        <v>49077</v>
      </c>
      <c r="D48" s="199">
        <v>21732</v>
      </c>
      <c r="E48" s="199">
        <v>0</v>
      </c>
      <c r="F48" s="215">
        <f>SUM(B48:E48)</f>
        <v>74951</v>
      </c>
    </row>
    <row r="49" spans="1:6" x14ac:dyDescent="0.2">
      <c r="A49" s="159" t="s">
        <v>119</v>
      </c>
      <c r="B49" s="200">
        <f>B44-SUM(B46:B48)</f>
        <v>231872</v>
      </c>
      <c r="C49" s="200">
        <f t="shared" ref="C49" si="6">C44-SUM(C46:C48)</f>
        <v>253839</v>
      </c>
      <c r="D49" s="200">
        <f t="shared" ref="D49" si="7">D44-SUM(D46:D48)</f>
        <v>81639</v>
      </c>
      <c r="E49" s="200">
        <f t="shared" ref="E49" si="8">E44-SUM(E46:E48)</f>
        <v>0</v>
      </c>
      <c r="F49" s="200">
        <f>F44-SUM(F46:F48)</f>
        <v>567350</v>
      </c>
    </row>
    <row r="50" spans="1:6" x14ac:dyDescent="0.2">
      <c r="A50" s="159" t="s">
        <v>120</v>
      </c>
      <c r="B50" s="215">
        <v>19520.50834</v>
      </c>
      <c r="C50" s="215">
        <v>2088.6522800000002</v>
      </c>
      <c r="D50" s="215">
        <v>2340.0226499999999</v>
      </c>
      <c r="E50" s="172"/>
      <c r="F50" s="172"/>
    </row>
    <row r="51" spans="1:6" x14ac:dyDescent="0.2">
      <c r="A51" s="159" t="s">
        <v>121</v>
      </c>
      <c r="B51" s="201">
        <f>B49/B50</f>
        <v>11.878379187741993</v>
      </c>
      <c r="C51" s="201">
        <f t="shared" ref="C51" si="9">C49/C50</f>
        <v>121.53243621767429</v>
      </c>
      <c r="D51" s="201">
        <f t="shared" ref="D51" si="10">D49/D50</f>
        <v>34.888123839314119</v>
      </c>
      <c r="E51" s="172"/>
      <c r="F51" s="172"/>
    </row>
    <row r="52" spans="1:6" x14ac:dyDescent="0.2">
      <c r="A52" s="159"/>
      <c r="B52" s="167"/>
      <c r="C52" s="168"/>
      <c r="D52" s="168"/>
      <c r="E52" s="168"/>
      <c r="F52" s="168"/>
    </row>
    <row r="53" spans="1:6" ht="15" x14ac:dyDescent="0.25">
      <c r="A53" s="177"/>
      <c r="B53" s="178"/>
      <c r="C53" s="179"/>
      <c r="D53" s="180"/>
      <c r="E53" s="180"/>
      <c r="F53" s="179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workbookViewId="0">
      <selection activeCell="E4" sqref="E1:E1048576"/>
    </sheetView>
  </sheetViews>
  <sheetFormatPr defaultRowHeight="12.75" x14ac:dyDescent="0.2"/>
  <cols>
    <col min="1" max="1" width="59.6640625" style="128" bestFit="1" customWidth="1"/>
    <col min="2" max="6" width="20.83203125" style="128" customWidth="1"/>
    <col min="7" max="7" width="9.33203125" style="128"/>
    <col min="8" max="8" width="14.33203125" style="128" customWidth="1"/>
    <col min="9" max="9" width="10.83203125" style="128" bestFit="1" customWidth="1"/>
    <col min="10" max="16384" width="9.33203125" style="128"/>
  </cols>
  <sheetData>
    <row r="1" spans="1:9" ht="15.75" x14ac:dyDescent="0.25">
      <c r="A1" s="270" t="s">
        <v>0</v>
      </c>
      <c r="B1" s="270"/>
      <c r="C1" s="271"/>
      <c r="D1" s="271"/>
      <c r="E1" s="271"/>
      <c r="F1" s="271"/>
      <c r="G1" s="271"/>
      <c r="H1" s="274"/>
      <c r="I1" s="274"/>
    </row>
    <row r="2" spans="1:9" ht="15.75" x14ac:dyDescent="0.25">
      <c r="A2" s="270" t="s">
        <v>112</v>
      </c>
      <c r="B2" s="270"/>
      <c r="C2" s="271"/>
      <c r="D2" s="271"/>
      <c r="E2" s="271"/>
      <c r="F2" s="271"/>
      <c r="G2" s="271"/>
      <c r="H2" s="275"/>
      <c r="I2" s="271"/>
    </row>
    <row r="3" spans="1:9" ht="15.75" x14ac:dyDescent="0.25">
      <c r="A3" s="270" t="s">
        <v>177</v>
      </c>
      <c r="B3" s="270"/>
      <c r="C3" s="271"/>
      <c r="D3" s="271"/>
      <c r="E3" s="271"/>
      <c r="F3" s="271"/>
      <c r="G3" s="271"/>
      <c r="H3" s="275"/>
      <c r="I3" s="271"/>
    </row>
    <row r="4" spans="1:9" x14ac:dyDescent="0.2">
      <c r="A4" s="160"/>
      <c r="B4" s="160"/>
      <c r="C4" s="160"/>
      <c r="D4" s="160"/>
      <c r="E4" s="160"/>
      <c r="F4" s="160"/>
      <c r="G4" s="160"/>
      <c r="H4" s="160"/>
      <c r="I4" s="160"/>
    </row>
    <row r="5" spans="1:9" x14ac:dyDescent="0.2">
      <c r="A5" s="183" t="s">
        <v>131</v>
      </c>
      <c r="B5" s="181"/>
      <c r="C5" s="181"/>
      <c r="D5" s="181"/>
      <c r="E5" s="181"/>
      <c r="F5" s="181"/>
    </row>
    <row r="6" spans="1:9" x14ac:dyDescent="0.2">
      <c r="A6" s="273"/>
      <c r="B6" s="273"/>
      <c r="C6" s="273"/>
      <c r="D6" s="273"/>
      <c r="E6" s="273"/>
      <c r="F6" s="273"/>
    </row>
    <row r="7" spans="1:9" x14ac:dyDescent="0.2">
      <c r="A7" s="184" t="s">
        <v>132</v>
      </c>
      <c r="B7" s="184"/>
      <c r="C7" s="184"/>
      <c r="D7" s="184"/>
      <c r="E7" s="184"/>
      <c r="F7" s="184"/>
    </row>
    <row r="8" spans="1:9" x14ac:dyDescent="0.2">
      <c r="A8" s="184" t="s">
        <v>133</v>
      </c>
      <c r="B8" s="182"/>
      <c r="C8" s="182"/>
      <c r="D8" s="182"/>
      <c r="E8" s="182"/>
      <c r="F8" s="182"/>
    </row>
    <row r="9" spans="1:9" ht="12.75" customHeight="1" x14ac:dyDescent="0.2">
      <c r="A9" s="185" t="s">
        <v>162</v>
      </c>
      <c r="B9" s="186"/>
      <c r="C9" s="186"/>
      <c r="D9" s="186"/>
      <c r="E9" s="186"/>
      <c r="F9" s="186"/>
    </row>
    <row r="10" spans="1:9" x14ac:dyDescent="0.2">
      <c r="A10" s="185" t="s">
        <v>163</v>
      </c>
      <c r="B10" s="186"/>
      <c r="C10" s="186"/>
      <c r="D10" s="186"/>
      <c r="E10" s="186"/>
      <c r="F10" s="186"/>
    </row>
    <row r="11" spans="1:9" x14ac:dyDescent="0.2">
      <c r="A11" s="185" t="s">
        <v>164</v>
      </c>
      <c r="B11" s="186"/>
      <c r="C11" s="186"/>
      <c r="D11" s="186"/>
      <c r="E11" s="186"/>
      <c r="F11" s="186"/>
    </row>
    <row r="12" spans="1:9" x14ac:dyDescent="0.2">
      <c r="A12" s="185" t="s">
        <v>165</v>
      </c>
      <c r="B12" s="186"/>
      <c r="C12" s="186"/>
      <c r="D12" s="186"/>
      <c r="E12" s="186"/>
      <c r="F12" s="186"/>
    </row>
    <row r="15" spans="1:9" ht="30" x14ac:dyDescent="0.25">
      <c r="A15" s="163" t="str">
        <f>'NON-GAAP Sales'!A18</f>
        <v>Quarter ended December 31, 2019</v>
      </c>
      <c r="B15" s="164" t="s">
        <v>84</v>
      </c>
      <c r="C15" s="165" t="s">
        <v>89</v>
      </c>
      <c r="D15" s="165" t="s">
        <v>90</v>
      </c>
      <c r="E15" s="165" t="s">
        <v>113</v>
      </c>
      <c r="F15" s="166" t="s">
        <v>114</v>
      </c>
    </row>
    <row r="16" spans="1:9" x14ac:dyDescent="0.2">
      <c r="A16" s="161" t="s">
        <v>13</v>
      </c>
      <c r="B16" s="167"/>
      <c r="C16" s="168"/>
      <c r="D16" s="168"/>
      <c r="E16" s="168"/>
      <c r="F16" s="168"/>
    </row>
    <row r="17" spans="1:9" ht="25.5" x14ac:dyDescent="0.2">
      <c r="A17" s="161" t="s">
        <v>166</v>
      </c>
      <c r="B17" s="172">
        <v>197434</v>
      </c>
      <c r="C17" s="172">
        <v>181192</v>
      </c>
      <c r="D17" s="172">
        <v>94565</v>
      </c>
      <c r="E17" s="172">
        <f>19230+32+1</f>
        <v>19263</v>
      </c>
      <c r="F17" s="172">
        <f>SUM(B17:E17)</f>
        <v>492454</v>
      </c>
      <c r="I17" s="250"/>
    </row>
    <row r="18" spans="1:9" ht="25.5" x14ac:dyDescent="0.2">
      <c r="A18" s="161" t="s">
        <v>122</v>
      </c>
      <c r="B18" s="172"/>
      <c r="C18" s="172"/>
      <c r="D18" s="172"/>
      <c r="E18" s="172"/>
      <c r="F18" s="172"/>
    </row>
    <row r="19" spans="1:9" ht="25.5" x14ac:dyDescent="0.2">
      <c r="A19" s="170" t="s">
        <v>123</v>
      </c>
      <c r="B19" s="215">
        <v>-728</v>
      </c>
      <c r="C19" s="199">
        <v>0</v>
      </c>
      <c r="D19" s="199">
        <v>0</v>
      </c>
      <c r="E19" s="199">
        <v>0</v>
      </c>
      <c r="F19" s="215">
        <f>SUM(B19:E19)</f>
        <v>-728</v>
      </c>
    </row>
    <row r="20" spans="1:9" x14ac:dyDescent="0.2">
      <c r="A20" s="170" t="s">
        <v>118</v>
      </c>
      <c r="B20" s="215">
        <f>'NON-GAAP Sales'!B24</f>
        <v>4567</v>
      </c>
      <c r="C20" s="215">
        <f>'NON-GAAP Sales'!C24</f>
        <v>41165</v>
      </c>
      <c r="D20" s="215">
        <f>'NON-GAAP Sales'!D24</f>
        <v>26849</v>
      </c>
      <c r="E20" s="215">
        <f>'NON-GAAP Sales'!E24</f>
        <v>32</v>
      </c>
      <c r="F20" s="215">
        <f t="shared" ref="F20:F22" si="0">SUM(B20:E20)</f>
        <v>72613</v>
      </c>
    </row>
    <row r="21" spans="1:9" ht="25.5" x14ac:dyDescent="0.2">
      <c r="A21" s="170" t="s">
        <v>124</v>
      </c>
      <c r="B21" s="215">
        <v>0</v>
      </c>
      <c r="C21" s="199">
        <v>0</v>
      </c>
      <c r="D21" s="199">
        <v>0</v>
      </c>
      <c r="E21" s="199">
        <v>16023</v>
      </c>
      <c r="F21" s="215">
        <f t="shared" si="0"/>
        <v>16023</v>
      </c>
    </row>
    <row r="22" spans="1:9" x14ac:dyDescent="0.2">
      <c r="A22" s="170" t="s">
        <v>125</v>
      </c>
      <c r="B22" s="215">
        <v>0</v>
      </c>
      <c r="C22" s="199">
        <v>0</v>
      </c>
      <c r="D22" s="199">
        <v>0</v>
      </c>
      <c r="E22" s="215">
        <v>3208</v>
      </c>
      <c r="F22" s="215">
        <f t="shared" si="0"/>
        <v>3208</v>
      </c>
    </row>
    <row r="23" spans="1:9" ht="13.5" thickBot="1" x14ac:dyDescent="0.25">
      <c r="A23" s="161" t="s">
        <v>126</v>
      </c>
      <c r="B23" s="202">
        <f>B17-SUM(B19:B22)</f>
        <v>193595</v>
      </c>
      <c r="C23" s="202">
        <f t="shared" ref="C23" si="1">C17-SUM(C19:C22)</f>
        <v>140027</v>
      </c>
      <c r="D23" s="202">
        <f t="shared" ref="D23" si="2">D17-SUM(D19:D22)</f>
        <v>67716</v>
      </c>
      <c r="E23" s="202">
        <f t="shared" ref="E23" si="3">E17-SUM(E19:E22)</f>
        <v>0</v>
      </c>
      <c r="F23" s="202">
        <f t="shared" ref="F23" si="4">F17-SUM(F19:F22)</f>
        <v>401338</v>
      </c>
    </row>
    <row r="24" spans="1:9" ht="13.5" thickTop="1" x14ac:dyDescent="0.2">
      <c r="A24" s="161" t="s">
        <v>120</v>
      </c>
      <c r="B24" s="215">
        <f>'NON-GAAP Sales'!B26</f>
        <v>18085.64673</v>
      </c>
      <c r="C24" s="215">
        <f>'NON-GAAP Sales'!C26</f>
        <v>1999.76099</v>
      </c>
      <c r="D24" s="215">
        <f>'NON-GAAP Sales'!D26</f>
        <v>2128.8781199999999</v>
      </c>
      <c r="E24" s="172"/>
      <c r="F24" s="172"/>
    </row>
    <row r="25" spans="1:9" x14ac:dyDescent="0.2">
      <c r="A25" s="161" t="s">
        <v>127</v>
      </c>
      <c r="B25" s="201">
        <f>B23/B24</f>
        <v>10.704344881340054</v>
      </c>
      <c r="C25" s="201">
        <f>C23/C24</f>
        <v>70.021867963330962</v>
      </c>
      <c r="D25" s="201">
        <f>D23/D24</f>
        <v>31.808302863294028</v>
      </c>
      <c r="E25" s="172"/>
      <c r="F25" s="172"/>
    </row>
    <row r="26" spans="1:9" x14ac:dyDescent="0.2">
      <c r="A26" s="161"/>
      <c r="B26" s="169"/>
      <c r="C26" s="169"/>
      <c r="D26" s="169"/>
      <c r="E26" s="169"/>
      <c r="F26" s="169"/>
    </row>
    <row r="27" spans="1:9" ht="15" x14ac:dyDescent="0.25">
      <c r="A27" s="177"/>
      <c r="B27" s="178"/>
      <c r="C27" s="179"/>
      <c r="D27" s="178"/>
      <c r="E27" s="180"/>
      <c r="F27" s="179"/>
    </row>
    <row r="28" spans="1:9" ht="30" x14ac:dyDescent="0.25">
      <c r="A28" s="163" t="str">
        <f>'NON-GAAP Sales'!A30</f>
        <v>Quarter ended September 30, 2019</v>
      </c>
      <c r="B28" s="164" t="s">
        <v>84</v>
      </c>
      <c r="C28" s="165" t="s">
        <v>89</v>
      </c>
      <c r="D28" s="165" t="s">
        <v>90</v>
      </c>
      <c r="E28" s="165" t="s">
        <v>113</v>
      </c>
      <c r="F28" s="166" t="s">
        <v>114</v>
      </c>
    </row>
    <row r="29" spans="1:9" x14ac:dyDescent="0.2">
      <c r="A29" s="161" t="s">
        <v>13</v>
      </c>
      <c r="B29" s="167"/>
      <c r="C29" s="168"/>
      <c r="D29" s="168"/>
      <c r="E29" s="168"/>
      <c r="F29" s="168"/>
    </row>
    <row r="30" spans="1:9" ht="25.5" x14ac:dyDescent="0.2">
      <c r="A30" s="161" t="s">
        <v>166</v>
      </c>
      <c r="B30" s="172">
        <v>218966</v>
      </c>
      <c r="C30" s="172">
        <f>184148+1</f>
        <v>184149</v>
      </c>
      <c r="D30" s="172">
        <v>81976</v>
      </c>
      <c r="E30" s="172">
        <v>5913</v>
      </c>
      <c r="F30" s="172">
        <f>SUM(B30:E30)</f>
        <v>491004</v>
      </c>
    </row>
    <row r="31" spans="1:9" ht="25.5" x14ac:dyDescent="0.2">
      <c r="A31" s="161" t="s">
        <v>122</v>
      </c>
      <c r="B31" s="172"/>
      <c r="C31" s="172"/>
      <c r="D31" s="172"/>
      <c r="E31" s="172"/>
      <c r="F31" s="172"/>
    </row>
    <row r="32" spans="1:9" ht="25.5" x14ac:dyDescent="0.2">
      <c r="A32" s="170" t="s">
        <v>123</v>
      </c>
      <c r="B32" s="215">
        <v>-1057</v>
      </c>
      <c r="C32" s="199">
        <v>0</v>
      </c>
      <c r="D32" s="199">
        <v>0</v>
      </c>
      <c r="E32" s="199">
        <v>0</v>
      </c>
      <c r="F32" s="198">
        <f>SUM(B32:E32)</f>
        <v>-1057</v>
      </c>
    </row>
    <row r="33" spans="1:6" x14ac:dyDescent="0.2">
      <c r="A33" s="170" t="s">
        <v>118</v>
      </c>
      <c r="B33" s="216">
        <f>'NON-GAAP Sales'!B36</f>
        <v>3581</v>
      </c>
      <c r="C33" s="216">
        <f>'NON-GAAP Sales'!C36</f>
        <v>48925</v>
      </c>
      <c r="D33" s="216">
        <f>'NON-GAAP Sales'!D36</f>
        <v>20080</v>
      </c>
      <c r="E33" s="216">
        <f>'NON-GAAP Sales'!E36</f>
        <v>0</v>
      </c>
      <c r="F33" s="198">
        <f t="shared" ref="F33:F35" si="5">SUM(B33:E33)</f>
        <v>72586</v>
      </c>
    </row>
    <row r="34" spans="1:6" ht="25.5" x14ac:dyDescent="0.2">
      <c r="A34" s="170" t="s">
        <v>124</v>
      </c>
      <c r="B34" s="215">
        <v>0</v>
      </c>
      <c r="C34" s="199">
        <v>0</v>
      </c>
      <c r="D34" s="199">
        <v>0</v>
      </c>
      <c r="E34" s="199">
        <v>3871</v>
      </c>
      <c r="F34" s="198">
        <f t="shared" si="5"/>
        <v>3871</v>
      </c>
    </row>
    <row r="35" spans="1:6" x14ac:dyDescent="0.2">
      <c r="A35" s="170" t="s">
        <v>125</v>
      </c>
      <c r="B35" s="215">
        <v>0</v>
      </c>
      <c r="C35" s="199">
        <v>0</v>
      </c>
      <c r="D35" s="199">
        <v>0</v>
      </c>
      <c r="E35" s="215">
        <v>2042</v>
      </c>
      <c r="F35" s="198">
        <f t="shared" si="5"/>
        <v>2042</v>
      </c>
    </row>
    <row r="36" spans="1:6" ht="13.5" thickBot="1" x14ac:dyDescent="0.25">
      <c r="A36" s="161" t="s">
        <v>126</v>
      </c>
      <c r="B36" s="202">
        <f>B30-SUM(B32:B35)</f>
        <v>216442</v>
      </c>
      <c r="C36" s="202">
        <f t="shared" ref="C36:F36" si="6">C30-SUM(C32:C35)</f>
        <v>135224</v>
      </c>
      <c r="D36" s="202">
        <f t="shared" si="6"/>
        <v>61896</v>
      </c>
      <c r="E36" s="202">
        <f t="shared" si="6"/>
        <v>0</v>
      </c>
      <c r="F36" s="202">
        <f t="shared" si="6"/>
        <v>413562</v>
      </c>
    </row>
    <row r="37" spans="1:6" ht="13.5" thickTop="1" x14ac:dyDescent="0.2">
      <c r="A37" s="161" t="s">
        <v>120</v>
      </c>
      <c r="B37" s="216">
        <f>'NON-GAAP Sales'!B38</f>
        <v>22156.124970000001</v>
      </c>
      <c r="C37" s="216">
        <f>'NON-GAAP Sales'!C38</f>
        <v>2083.9496899999999</v>
      </c>
      <c r="D37" s="216">
        <f>'NON-GAAP Sales'!D38</f>
        <v>1986.4125899999999</v>
      </c>
      <c r="E37" s="172"/>
      <c r="F37" s="172"/>
    </row>
    <row r="38" spans="1:6" x14ac:dyDescent="0.2">
      <c r="A38" s="161" t="s">
        <v>127</v>
      </c>
      <c r="B38" s="201">
        <f>B36/B37</f>
        <v>9.7689465235039243</v>
      </c>
      <c r="C38" s="201">
        <f>C36/C37</f>
        <v>64.888322711859715</v>
      </c>
      <c r="D38" s="201">
        <f>D36/D37</f>
        <v>31.159689739984987</v>
      </c>
      <c r="E38" s="172"/>
      <c r="F38" s="172"/>
    </row>
    <row r="39" spans="1:6" x14ac:dyDescent="0.2">
      <c r="A39" s="161"/>
      <c r="B39" s="167"/>
      <c r="C39" s="168"/>
      <c r="D39" s="168"/>
      <c r="E39" s="168"/>
      <c r="F39" s="168"/>
    </row>
    <row r="40" spans="1:6" ht="15" x14ac:dyDescent="0.25">
      <c r="A40" s="177"/>
      <c r="B40" s="178"/>
      <c r="C40" s="179"/>
      <c r="D40" s="180"/>
      <c r="E40" s="180"/>
      <c r="F40" s="179"/>
    </row>
    <row r="41" spans="1:6" ht="30" x14ac:dyDescent="0.25">
      <c r="A41" s="163" t="str">
        <f>'NON-GAAP Sales'!A42</f>
        <v>Quarter ended December 31, 2018</v>
      </c>
      <c r="B41" s="164" t="s">
        <v>84</v>
      </c>
      <c r="C41" s="165" t="s">
        <v>89</v>
      </c>
      <c r="D41" s="165" t="s">
        <v>90</v>
      </c>
      <c r="E41" s="165" t="s">
        <v>113</v>
      </c>
      <c r="F41" s="166" t="s">
        <v>114</v>
      </c>
    </row>
    <row r="42" spans="1:6" x14ac:dyDescent="0.2">
      <c r="A42" s="161" t="s">
        <v>13</v>
      </c>
      <c r="B42" s="167"/>
      <c r="C42" s="168"/>
      <c r="D42" s="168"/>
      <c r="E42" s="168"/>
      <c r="F42" s="168"/>
    </row>
    <row r="43" spans="1:6" ht="25.5" x14ac:dyDescent="0.2">
      <c r="A43" s="221" t="s">
        <v>166</v>
      </c>
      <c r="B43" s="172">
        <v>212434</v>
      </c>
      <c r="C43" s="172">
        <v>205390</v>
      </c>
      <c r="D43" s="172">
        <v>89040</v>
      </c>
      <c r="E43" s="172">
        <v>7141</v>
      </c>
      <c r="F43" s="172">
        <f>SUM(B43:E43)</f>
        <v>514005</v>
      </c>
    </row>
    <row r="44" spans="1:6" ht="25.5" x14ac:dyDescent="0.2">
      <c r="A44" s="221" t="s">
        <v>122</v>
      </c>
      <c r="B44" s="172"/>
      <c r="C44" s="172"/>
      <c r="D44" s="172"/>
      <c r="E44" s="172"/>
      <c r="F44" s="172"/>
    </row>
    <row r="45" spans="1:6" ht="25.5" x14ac:dyDescent="0.2">
      <c r="A45" s="170" t="s">
        <v>123</v>
      </c>
      <c r="B45" s="215">
        <v>120</v>
      </c>
      <c r="C45" s="199">
        <v>0</v>
      </c>
      <c r="D45" s="199">
        <v>0</v>
      </c>
      <c r="E45" s="199">
        <v>0</v>
      </c>
      <c r="F45" s="215">
        <f>SUM(B45:E45)</f>
        <v>120</v>
      </c>
    </row>
    <row r="46" spans="1:6" x14ac:dyDescent="0.2">
      <c r="A46" s="170" t="s">
        <v>118</v>
      </c>
      <c r="B46" s="216">
        <f>'NON-GAAP Sales'!B48</f>
        <v>4142</v>
      </c>
      <c r="C46" s="216">
        <f>'NON-GAAP Sales'!C48</f>
        <v>49077</v>
      </c>
      <c r="D46" s="216">
        <f>'NON-GAAP Sales'!D48</f>
        <v>21732</v>
      </c>
      <c r="E46" s="216">
        <f>'NON-GAAP Sales'!E48</f>
        <v>0</v>
      </c>
      <c r="F46" s="215">
        <f t="shared" ref="F46:F48" si="7">SUM(B46:E46)</f>
        <v>74951</v>
      </c>
    </row>
    <row r="47" spans="1:6" ht="25.5" x14ac:dyDescent="0.2">
      <c r="A47" s="170" t="s">
        <v>124</v>
      </c>
      <c r="B47" s="215">
        <v>0</v>
      </c>
      <c r="C47" s="199">
        <v>0</v>
      </c>
      <c r="D47" s="199">
        <v>0</v>
      </c>
      <c r="E47" s="199">
        <v>4746</v>
      </c>
      <c r="F47" s="215">
        <f t="shared" si="7"/>
        <v>4746</v>
      </c>
    </row>
    <row r="48" spans="1:6" x14ac:dyDescent="0.2">
      <c r="A48" s="170" t="s">
        <v>125</v>
      </c>
      <c r="B48" s="215">
        <v>0</v>
      </c>
      <c r="C48" s="199">
        <v>0</v>
      </c>
      <c r="D48" s="199">
        <v>0</v>
      </c>
      <c r="E48" s="215">
        <v>2395</v>
      </c>
      <c r="F48" s="215">
        <f t="shared" si="7"/>
        <v>2395</v>
      </c>
    </row>
    <row r="49" spans="1:6" ht="13.5" thickBot="1" x14ac:dyDescent="0.25">
      <c r="A49" s="221" t="s">
        <v>126</v>
      </c>
      <c r="B49" s="202">
        <f>B43-SUM(B45:B48)</f>
        <v>208172</v>
      </c>
      <c r="C49" s="202">
        <f t="shared" ref="C49" si="8">C43-SUM(C45:C48)</f>
        <v>156313</v>
      </c>
      <c r="D49" s="202">
        <f t="shared" ref="D49" si="9">D43-SUM(D45:D48)</f>
        <v>67308</v>
      </c>
      <c r="E49" s="202">
        <f t="shared" ref="E49" si="10">E43-SUM(E45:E48)</f>
        <v>0</v>
      </c>
      <c r="F49" s="202">
        <f t="shared" ref="F49" si="11">F43-SUM(F45:F48)</f>
        <v>431793</v>
      </c>
    </row>
    <row r="50" spans="1:6" ht="13.5" thickTop="1" x14ac:dyDescent="0.2">
      <c r="A50" s="221" t="s">
        <v>120</v>
      </c>
      <c r="B50" s="215">
        <f>'NON-GAAP Sales'!B50</f>
        <v>19520.50834</v>
      </c>
      <c r="C50" s="215">
        <f>'NON-GAAP Sales'!C50</f>
        <v>2088.6522800000002</v>
      </c>
      <c r="D50" s="215">
        <f>'NON-GAAP Sales'!D50</f>
        <v>2340.0226499999999</v>
      </c>
      <c r="E50" s="172"/>
      <c r="F50" s="172"/>
    </row>
    <row r="51" spans="1:6" x14ac:dyDescent="0.2">
      <c r="A51" s="221" t="s">
        <v>127</v>
      </c>
      <c r="B51" s="201">
        <f>B49/B50</f>
        <v>10.664271461283063</v>
      </c>
      <c r="C51" s="201">
        <f t="shared" ref="C51" si="12">C49/C50</f>
        <v>74.839168537905209</v>
      </c>
      <c r="D51" s="201">
        <f t="shared" ref="D51" si="13">D49/D50</f>
        <v>28.763824145035521</v>
      </c>
      <c r="E51" s="172"/>
      <c r="F51" s="172"/>
    </row>
    <row r="52" spans="1:6" x14ac:dyDescent="0.2">
      <c r="A52" s="161"/>
      <c r="B52" s="167"/>
      <c r="C52" s="168"/>
      <c r="D52" s="168"/>
      <c r="E52" s="168"/>
      <c r="F52" s="168"/>
    </row>
    <row r="53" spans="1:6" ht="15" x14ac:dyDescent="0.25">
      <c r="A53" s="177"/>
      <c r="B53" s="178"/>
      <c r="C53" s="179"/>
      <c r="D53" s="180"/>
      <c r="E53" s="180"/>
      <c r="F53" s="179"/>
    </row>
    <row r="54" spans="1:6" x14ac:dyDescent="0.2">
      <c r="A54" s="171"/>
      <c r="B54" s="171"/>
      <c r="C54" s="171"/>
      <c r="D54" s="171"/>
      <c r="E54" s="171"/>
      <c r="F54" s="171"/>
    </row>
    <row r="55" spans="1:6" x14ac:dyDescent="0.2">
      <c r="A55" s="171"/>
      <c r="B55" s="171"/>
      <c r="C55" s="171"/>
      <c r="D55" s="171"/>
      <c r="E55" s="171"/>
      <c r="F55" s="171"/>
    </row>
    <row r="56" spans="1:6" x14ac:dyDescent="0.2">
      <c r="A56" s="171"/>
      <c r="B56" s="171"/>
      <c r="C56" s="171"/>
      <c r="D56" s="171"/>
      <c r="E56" s="171"/>
      <c r="F56" s="171"/>
    </row>
    <row r="57" spans="1:6" x14ac:dyDescent="0.2">
      <c r="A57" s="171"/>
      <c r="B57" s="171"/>
      <c r="C57" s="171"/>
      <c r="D57" s="171"/>
      <c r="E57" s="171"/>
      <c r="F57" s="171"/>
    </row>
    <row r="58" spans="1:6" x14ac:dyDescent="0.2">
      <c r="A58" s="171"/>
      <c r="B58" s="171"/>
      <c r="C58" s="171"/>
      <c r="D58" s="171"/>
      <c r="E58" s="171"/>
      <c r="F58" s="171"/>
    </row>
    <row r="59" spans="1:6" x14ac:dyDescent="0.2">
      <c r="A59" s="171"/>
      <c r="B59" s="171"/>
      <c r="C59" s="171"/>
      <c r="D59" s="171"/>
      <c r="E59" s="171"/>
      <c r="F59" s="171"/>
    </row>
    <row r="60" spans="1:6" x14ac:dyDescent="0.2">
      <c r="A60" s="171"/>
      <c r="B60" s="171"/>
      <c r="C60" s="171"/>
      <c r="D60" s="171"/>
      <c r="E60" s="171"/>
      <c r="F60" s="171"/>
    </row>
    <row r="61" spans="1:6" x14ac:dyDescent="0.2">
      <c r="A61" s="171"/>
      <c r="B61" s="171"/>
      <c r="C61" s="171"/>
      <c r="D61" s="171"/>
      <c r="E61" s="171"/>
      <c r="F61" s="171"/>
    </row>
    <row r="62" spans="1:6" x14ac:dyDescent="0.2">
      <c r="A62" s="171"/>
      <c r="B62" s="171"/>
      <c r="C62" s="171"/>
      <c r="D62" s="171"/>
      <c r="E62" s="171"/>
      <c r="F62" s="171"/>
    </row>
    <row r="63" spans="1:6" x14ac:dyDescent="0.2">
      <c r="A63" s="171"/>
      <c r="B63" s="171"/>
      <c r="C63" s="171"/>
      <c r="D63" s="171"/>
      <c r="E63" s="171"/>
      <c r="F63" s="171"/>
    </row>
    <row r="64" spans="1:6" x14ac:dyDescent="0.2">
      <c r="A64" s="171"/>
      <c r="B64" s="171"/>
      <c r="C64" s="171"/>
      <c r="D64" s="171"/>
      <c r="E64" s="171"/>
      <c r="F64" s="171"/>
    </row>
    <row r="65" spans="1:6" x14ac:dyDescent="0.2">
      <c r="A65" s="171"/>
      <c r="B65" s="171"/>
      <c r="C65" s="171"/>
      <c r="D65" s="171"/>
      <c r="E65" s="171"/>
      <c r="F65" s="171"/>
    </row>
    <row r="66" spans="1:6" x14ac:dyDescent="0.2">
      <c r="A66" s="171"/>
      <c r="B66" s="171"/>
      <c r="C66" s="171"/>
      <c r="D66" s="171"/>
      <c r="E66" s="171"/>
      <c r="F66" s="171"/>
    </row>
    <row r="67" spans="1:6" x14ac:dyDescent="0.2">
      <c r="A67" s="171"/>
      <c r="B67" s="171"/>
      <c r="C67" s="171"/>
      <c r="D67" s="171"/>
      <c r="E67" s="171"/>
      <c r="F67" s="171"/>
    </row>
    <row r="68" spans="1:6" x14ac:dyDescent="0.2">
      <c r="A68" s="171"/>
      <c r="B68" s="171"/>
      <c r="C68" s="171"/>
      <c r="D68" s="171"/>
      <c r="E68" s="171"/>
      <c r="F68" s="171"/>
    </row>
    <row r="69" spans="1:6" x14ac:dyDescent="0.2">
      <c r="A69" s="171"/>
      <c r="B69" s="171"/>
      <c r="C69" s="171"/>
      <c r="D69" s="171"/>
      <c r="E69" s="171"/>
      <c r="F69" s="171"/>
    </row>
    <row r="70" spans="1:6" x14ac:dyDescent="0.2">
      <c r="A70" s="171"/>
      <c r="B70" s="171"/>
      <c r="C70" s="171"/>
      <c r="D70" s="171"/>
      <c r="E70" s="171"/>
      <c r="F70" s="171"/>
    </row>
    <row r="71" spans="1:6" x14ac:dyDescent="0.2">
      <c r="A71" s="171"/>
      <c r="B71" s="171"/>
      <c r="C71" s="171"/>
      <c r="D71" s="171"/>
      <c r="E71" s="171"/>
      <c r="F71" s="171"/>
    </row>
    <row r="72" spans="1:6" x14ac:dyDescent="0.2">
      <c r="A72" s="171"/>
      <c r="B72" s="171"/>
      <c r="C72" s="171"/>
      <c r="D72" s="171"/>
      <c r="E72" s="171"/>
      <c r="F72" s="171"/>
    </row>
    <row r="73" spans="1:6" x14ac:dyDescent="0.2">
      <c r="A73" s="171"/>
      <c r="B73" s="171"/>
      <c r="C73" s="171"/>
      <c r="D73" s="171"/>
      <c r="E73" s="171"/>
      <c r="F73" s="171"/>
    </row>
    <row r="74" spans="1:6" x14ac:dyDescent="0.2">
      <c r="A74" s="171"/>
      <c r="B74" s="171"/>
      <c r="C74" s="171"/>
      <c r="D74" s="171"/>
      <c r="E74" s="171"/>
      <c r="F74" s="171"/>
    </row>
    <row r="75" spans="1:6" x14ac:dyDescent="0.2">
      <c r="A75" s="171"/>
      <c r="B75" s="171"/>
      <c r="C75" s="171"/>
      <c r="D75" s="171"/>
      <c r="E75" s="171"/>
      <c r="F75" s="171"/>
    </row>
    <row r="76" spans="1:6" x14ac:dyDescent="0.2">
      <c r="A76" s="171"/>
      <c r="B76" s="171"/>
      <c r="C76" s="171"/>
      <c r="D76" s="171"/>
      <c r="E76" s="171"/>
      <c r="F76" s="171"/>
    </row>
    <row r="77" spans="1:6" x14ac:dyDescent="0.2">
      <c r="A77" s="171"/>
      <c r="B77" s="171"/>
      <c r="C77" s="171"/>
      <c r="D77" s="171"/>
      <c r="E77" s="171"/>
      <c r="F77" s="171"/>
    </row>
    <row r="78" spans="1:6" x14ac:dyDescent="0.2">
      <c r="A78" s="171"/>
      <c r="B78" s="171"/>
      <c r="C78" s="171"/>
      <c r="D78" s="171"/>
      <c r="E78" s="171"/>
      <c r="F78" s="171"/>
    </row>
    <row r="79" spans="1:6" x14ac:dyDescent="0.2">
      <c r="A79" s="171"/>
      <c r="B79" s="171"/>
      <c r="C79" s="171"/>
      <c r="D79" s="171"/>
      <c r="E79" s="171"/>
      <c r="F79" s="171"/>
    </row>
    <row r="80" spans="1:6" x14ac:dyDescent="0.2">
      <c r="A80" s="171"/>
      <c r="B80" s="171"/>
      <c r="C80" s="171"/>
      <c r="D80" s="171"/>
      <c r="E80" s="171"/>
      <c r="F80" s="171"/>
    </row>
    <row r="81" spans="1:6" x14ac:dyDescent="0.2">
      <c r="A81" s="171"/>
      <c r="B81" s="171"/>
      <c r="C81" s="171"/>
      <c r="D81" s="171"/>
      <c r="E81" s="171"/>
      <c r="F81" s="171"/>
    </row>
    <row r="82" spans="1:6" x14ac:dyDescent="0.2">
      <c r="A82" s="171"/>
      <c r="B82" s="171"/>
      <c r="C82" s="171"/>
      <c r="D82" s="171"/>
      <c r="E82" s="171"/>
      <c r="F82" s="171"/>
    </row>
    <row r="83" spans="1:6" x14ac:dyDescent="0.2">
      <c r="A83" s="171"/>
      <c r="B83" s="171"/>
      <c r="C83" s="171"/>
      <c r="D83" s="171"/>
      <c r="E83" s="171"/>
      <c r="F83" s="171"/>
    </row>
    <row r="84" spans="1:6" x14ac:dyDescent="0.2">
      <c r="A84" s="171"/>
      <c r="B84" s="171"/>
      <c r="C84" s="171"/>
      <c r="D84" s="171"/>
      <c r="E84" s="171"/>
      <c r="F84" s="171"/>
    </row>
    <row r="85" spans="1:6" x14ac:dyDescent="0.2">
      <c r="A85" s="171"/>
      <c r="B85" s="171"/>
      <c r="C85" s="171"/>
      <c r="D85" s="171"/>
      <c r="E85" s="171"/>
      <c r="F85" s="171"/>
    </row>
    <row r="86" spans="1:6" x14ac:dyDescent="0.2">
      <c r="A86" s="171"/>
      <c r="B86" s="171"/>
      <c r="C86" s="171"/>
      <c r="D86" s="171"/>
      <c r="E86" s="171"/>
      <c r="F86" s="171"/>
    </row>
    <row r="87" spans="1:6" x14ac:dyDescent="0.2">
      <c r="A87" s="171"/>
      <c r="B87" s="171"/>
      <c r="C87" s="171"/>
      <c r="D87" s="171"/>
      <c r="E87" s="171"/>
      <c r="F87" s="171"/>
    </row>
    <row r="88" spans="1:6" x14ac:dyDescent="0.2">
      <c r="A88" s="171"/>
      <c r="B88" s="171"/>
      <c r="C88" s="171"/>
      <c r="D88" s="171"/>
      <c r="E88" s="171"/>
      <c r="F88" s="171"/>
    </row>
    <row r="89" spans="1:6" x14ac:dyDescent="0.2">
      <c r="A89" s="171"/>
      <c r="B89" s="171"/>
      <c r="C89" s="171"/>
      <c r="D89" s="171"/>
      <c r="E89" s="171"/>
      <c r="F89" s="171"/>
    </row>
    <row r="90" spans="1:6" x14ac:dyDescent="0.2">
      <c r="A90" s="171"/>
      <c r="B90" s="171"/>
      <c r="C90" s="171"/>
      <c r="D90" s="171"/>
      <c r="E90" s="171"/>
      <c r="F90" s="171"/>
    </row>
    <row r="91" spans="1:6" x14ac:dyDescent="0.2">
      <c r="A91" s="171"/>
      <c r="B91" s="171"/>
      <c r="C91" s="171"/>
      <c r="D91" s="171"/>
      <c r="E91" s="171"/>
      <c r="F91" s="171"/>
    </row>
    <row r="92" spans="1:6" x14ac:dyDescent="0.2">
      <c r="A92" s="171"/>
      <c r="B92" s="171"/>
      <c r="C92" s="171"/>
      <c r="D92" s="171"/>
      <c r="E92" s="171"/>
      <c r="F92" s="171"/>
    </row>
    <row r="93" spans="1:6" x14ac:dyDescent="0.2">
      <c r="A93" s="171"/>
      <c r="B93" s="171"/>
      <c r="C93" s="171"/>
      <c r="D93" s="171"/>
      <c r="E93" s="171"/>
      <c r="F93" s="171"/>
    </row>
    <row r="94" spans="1:6" x14ac:dyDescent="0.2">
      <c r="A94" s="171"/>
      <c r="B94" s="171"/>
      <c r="C94" s="171"/>
      <c r="D94" s="171"/>
      <c r="E94" s="171"/>
      <c r="F94" s="171"/>
    </row>
    <row r="95" spans="1:6" x14ac:dyDescent="0.2">
      <c r="A95" s="171"/>
      <c r="B95" s="171"/>
      <c r="C95" s="171"/>
      <c r="D95" s="171"/>
      <c r="E95" s="171"/>
      <c r="F95" s="171"/>
    </row>
    <row r="96" spans="1:6" x14ac:dyDescent="0.2">
      <c r="A96" s="171"/>
      <c r="B96" s="171"/>
      <c r="C96" s="171"/>
      <c r="D96" s="171"/>
      <c r="E96" s="171"/>
      <c r="F96" s="171"/>
    </row>
    <row r="97" spans="1:6" x14ac:dyDescent="0.2">
      <c r="A97" s="171"/>
      <c r="B97" s="171"/>
      <c r="C97" s="171"/>
      <c r="D97" s="171"/>
      <c r="E97" s="171"/>
      <c r="F97" s="171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3"/>
  <sheetViews>
    <sheetView zoomScaleNormal="100" workbookViewId="0">
      <selection activeCell="H33" sqref="H33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customWidth="1"/>
    <col min="5" max="6" width="17.83203125" style="1" customWidth="1"/>
    <col min="7" max="16384" width="21.5" style="1"/>
  </cols>
  <sheetData>
    <row r="1" spans="1:7" ht="13.5" customHeight="1" x14ac:dyDescent="0.25">
      <c r="A1" s="260" t="s">
        <v>0</v>
      </c>
      <c r="B1" s="265"/>
      <c r="C1" s="276"/>
      <c r="D1" s="276"/>
      <c r="E1" s="264"/>
      <c r="F1" s="264"/>
      <c r="G1" s="3"/>
    </row>
    <row r="2" spans="1:7" ht="13.5" customHeight="1" x14ac:dyDescent="0.25">
      <c r="A2" s="260" t="s">
        <v>44</v>
      </c>
      <c r="B2" s="265"/>
      <c r="C2" s="276"/>
      <c r="D2" s="276"/>
      <c r="E2" s="276"/>
      <c r="F2" s="265"/>
      <c r="G2" s="3"/>
    </row>
    <row r="3" spans="1:7" ht="13.5" customHeight="1" x14ac:dyDescent="0.25">
      <c r="A3" s="260" t="s">
        <v>13</v>
      </c>
      <c r="B3" s="265"/>
      <c r="C3" s="276"/>
      <c r="D3" s="276"/>
      <c r="E3" s="276"/>
      <c r="F3" s="265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140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68" t="s">
        <v>141</v>
      </c>
      <c r="B7" s="265"/>
      <c r="C7" s="265"/>
      <c r="D7" s="265"/>
      <c r="E7" s="265"/>
      <c r="F7" s="265"/>
      <c r="G7" s="3"/>
    </row>
    <row r="8" spans="1:7" ht="13.5" customHeight="1" x14ac:dyDescent="0.2">
      <c r="A8" s="268" t="s">
        <v>142</v>
      </c>
      <c r="B8" s="265"/>
      <c r="C8" s="265"/>
      <c r="D8" s="265"/>
      <c r="E8" s="265"/>
      <c r="F8" s="265"/>
      <c r="G8" s="3"/>
    </row>
    <row r="9" spans="1:7" ht="13.5" customHeight="1" x14ac:dyDescent="0.2">
      <c r="A9" s="261" t="s">
        <v>143</v>
      </c>
      <c r="B9" s="277"/>
      <c r="C9" s="277"/>
      <c r="D9" s="277"/>
      <c r="E9" s="277"/>
      <c r="F9" s="277"/>
      <c r="G9" s="3"/>
    </row>
    <row r="10" spans="1:7" s="144" customFormat="1" ht="13.5" customHeight="1" x14ac:dyDescent="0.2">
      <c r="A10" s="141" t="s">
        <v>108</v>
      </c>
      <c r="B10" s="142"/>
      <c r="C10" s="142"/>
      <c r="D10" s="142"/>
      <c r="E10" s="142"/>
      <c r="F10" s="142"/>
      <c r="G10" s="143"/>
    </row>
    <row r="11" spans="1:7" ht="13.5" customHeight="1" x14ac:dyDescent="0.2">
      <c r="A11" s="265"/>
      <c r="B11" s="265"/>
      <c r="C11" s="265"/>
      <c r="D11" s="265"/>
      <c r="E11" s="265"/>
      <c r="F11" s="265"/>
      <c r="G11" s="3"/>
    </row>
    <row r="12" spans="1:7" ht="13.5" customHeight="1" x14ac:dyDescent="0.2">
      <c r="A12" s="268" t="s">
        <v>144</v>
      </c>
      <c r="B12" s="265"/>
      <c r="C12" s="265"/>
      <c r="D12" s="265"/>
      <c r="E12" s="265"/>
      <c r="F12" s="265"/>
      <c r="G12" s="3"/>
    </row>
    <row r="13" spans="1:7" ht="13.5" customHeight="1" x14ac:dyDescent="0.2">
      <c r="A13" s="268" t="s">
        <v>145</v>
      </c>
      <c r="B13" s="265"/>
      <c r="C13" s="265"/>
      <c r="D13" s="265"/>
      <c r="E13" s="265"/>
      <c r="F13" s="265"/>
      <c r="G13" s="3"/>
    </row>
    <row r="14" spans="1:7" ht="13.5" customHeight="1" x14ac:dyDescent="0.2">
      <c r="A14" s="268" t="s">
        <v>81</v>
      </c>
      <c r="B14" s="265"/>
      <c r="C14" s="265"/>
      <c r="D14" s="265"/>
      <c r="E14" s="265"/>
      <c r="F14" s="265"/>
      <c r="G14" s="3"/>
    </row>
    <row r="15" spans="1:7" ht="13.5" customHeight="1" x14ac:dyDescent="0.2">
      <c r="A15" s="268" t="s">
        <v>146</v>
      </c>
      <c r="B15" s="265"/>
      <c r="C15" s="265"/>
      <c r="D15" s="265"/>
      <c r="E15" s="265"/>
      <c r="F15" s="265"/>
      <c r="G15" s="3"/>
    </row>
    <row r="16" spans="1:7" ht="13.5" customHeight="1" x14ac:dyDescent="0.2">
      <c r="A16" s="268" t="s">
        <v>98</v>
      </c>
      <c r="B16" s="265"/>
      <c r="C16" s="265"/>
      <c r="D16" s="265"/>
      <c r="E16" s="265"/>
      <c r="F16" s="265"/>
      <c r="G16" s="3"/>
    </row>
    <row r="17" spans="1:8" ht="13.5" customHeight="1" x14ac:dyDescent="0.2">
      <c r="A17" s="268" t="s">
        <v>147</v>
      </c>
      <c r="B17" s="265"/>
      <c r="C17" s="265"/>
      <c r="D17" s="265"/>
      <c r="E17" s="265"/>
      <c r="F17" s="265"/>
      <c r="G17" s="3"/>
    </row>
    <row r="18" spans="1:8" ht="13.5" customHeight="1" x14ac:dyDescent="0.2">
      <c r="A18" s="268" t="s">
        <v>148</v>
      </c>
      <c r="B18" s="265"/>
      <c r="C18" s="265"/>
      <c r="D18" s="265"/>
      <c r="E18" s="265"/>
      <c r="F18" s="265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62" t="s">
        <v>201</v>
      </c>
      <c r="C20" s="262"/>
      <c r="D20" s="155"/>
      <c r="E20" s="262" t="s">
        <v>187</v>
      </c>
      <c r="F20" s="262"/>
      <c r="G20" s="3"/>
    </row>
    <row r="21" spans="1:8" ht="12.75" x14ac:dyDescent="0.2">
      <c r="A21" s="3"/>
      <c r="B21" s="102">
        <v>2019</v>
      </c>
      <c r="C21" s="152">
        <v>2018</v>
      </c>
      <c r="D21" s="28"/>
      <c r="E21" s="209">
        <v>2019</v>
      </c>
      <c r="F21" s="152">
        <v>2018</v>
      </c>
      <c r="G21" s="16"/>
      <c r="H21" s="153"/>
    </row>
    <row r="22" spans="1:8" ht="13.5" customHeight="1" x14ac:dyDescent="0.2">
      <c r="A22" s="3"/>
      <c r="B22" s="263" t="s">
        <v>2</v>
      </c>
      <c r="C22" s="263"/>
      <c r="D22" s="223"/>
      <c r="E22" s="263" t="s">
        <v>2</v>
      </c>
      <c r="F22" s="263"/>
      <c r="G22" s="97"/>
      <c r="H22" s="97"/>
    </row>
    <row r="23" spans="1:8" ht="13.5" customHeight="1" x14ac:dyDescent="0.2">
      <c r="A23" s="8" t="s">
        <v>199</v>
      </c>
      <c r="B23" s="100">
        <f>'Income Statement'!B44</f>
        <v>-8551</v>
      </c>
      <c r="C23" s="100">
        <f>'Income Statement'!C44</f>
        <v>86094</v>
      </c>
      <c r="D23" s="103"/>
      <c r="E23" s="100">
        <f>'Income Statement'!E44</f>
        <v>233799</v>
      </c>
      <c r="F23" s="100">
        <f>'Income Statement'!F44</f>
        <v>312577</v>
      </c>
      <c r="G23" s="3"/>
    </row>
    <row r="24" spans="1:8" ht="13.5" customHeight="1" x14ac:dyDescent="0.2">
      <c r="A24" s="7" t="s">
        <v>167</v>
      </c>
      <c r="B24" s="81">
        <f>'Income Statement'!B42</f>
        <v>-260</v>
      </c>
      <c r="C24" s="81">
        <f>'Income Statement'!C42</f>
        <v>-3351</v>
      </c>
      <c r="D24" s="95"/>
      <c r="E24" s="81">
        <f>'Income Statement'!E42</f>
        <v>248</v>
      </c>
      <c r="F24" s="81">
        <f>'Income Statement'!F42</f>
        <v>-52476</v>
      </c>
      <c r="G24" s="3"/>
    </row>
    <row r="25" spans="1:8" ht="13.5" customHeight="1" x14ac:dyDescent="0.2">
      <c r="A25" s="7" t="s">
        <v>8</v>
      </c>
      <c r="B25" s="81">
        <f>-'Income Statement'!B31</f>
        <v>1878</v>
      </c>
      <c r="C25" s="81">
        <f>-'Income Statement'!C31</f>
        <v>2691</v>
      </c>
      <c r="D25" s="81"/>
      <c r="E25" s="81">
        <f>-'Income Statement'!E31</f>
        <v>6794</v>
      </c>
      <c r="F25" s="81">
        <f>-'Income Statement'!F31</f>
        <v>13689</v>
      </c>
      <c r="G25" s="3"/>
    </row>
    <row r="26" spans="1:8" ht="13.5" customHeight="1" x14ac:dyDescent="0.2">
      <c r="A26" s="7" t="s">
        <v>5</v>
      </c>
      <c r="B26" s="81">
        <f>'Income Statement'!B14</f>
        <v>29856</v>
      </c>
      <c r="C26" s="81">
        <f>'Income Statement'!C14</f>
        <v>27536</v>
      </c>
      <c r="D26" s="95"/>
      <c r="E26" s="81">
        <f>'Income Statement'!E14</f>
        <v>112055</v>
      </c>
      <c r="F26" s="81">
        <f>'Income Statement'!F14</f>
        <v>119563</v>
      </c>
      <c r="G26" s="3"/>
    </row>
    <row r="27" spans="1:8" s="87" customFormat="1" ht="13.5" customHeight="1" x14ac:dyDescent="0.2">
      <c r="A27" s="7" t="s">
        <v>78</v>
      </c>
      <c r="B27" s="81">
        <f>'Income Statement'!B15</f>
        <v>5137</v>
      </c>
      <c r="C27" s="81">
        <f>'Income Statement'!C15</f>
        <v>6993</v>
      </c>
      <c r="D27" s="95"/>
      <c r="E27" s="81">
        <f>'Income Statement'!E15</f>
        <v>20548</v>
      </c>
      <c r="F27" s="81">
        <f>'Income Statement'!F15</f>
        <v>27970</v>
      </c>
      <c r="G27" s="77"/>
    </row>
    <row r="28" spans="1:8" ht="13.5" customHeight="1" x14ac:dyDescent="0.2">
      <c r="A28" s="7" t="s">
        <v>80</v>
      </c>
      <c r="B28" s="81">
        <f>'Income Statement'!B16</f>
        <v>-357</v>
      </c>
      <c r="C28" s="81">
        <f>'Income Statement'!C16</f>
        <v>1567</v>
      </c>
      <c r="D28" s="95"/>
      <c r="E28" s="81">
        <f>'Income Statement'!E16</f>
        <v>-434</v>
      </c>
      <c r="F28" s="81">
        <f>'Income Statement'!F16</f>
        <v>11107</v>
      </c>
      <c r="G28" s="3"/>
    </row>
    <row r="29" spans="1:8" s="228" customFormat="1" ht="13.5" customHeight="1" x14ac:dyDescent="0.2">
      <c r="A29" s="7" t="s">
        <v>170</v>
      </c>
      <c r="B29" s="81">
        <f>'Income Statement'!B19</f>
        <v>7044</v>
      </c>
      <c r="C29" s="81">
        <f>'Income Statement'!C19</f>
        <v>0</v>
      </c>
      <c r="D29" s="95"/>
      <c r="E29" s="81">
        <f>'Income Statement'!E19</f>
        <v>13816</v>
      </c>
      <c r="F29" s="81">
        <f>'Income Statement'!F19</f>
        <v>0</v>
      </c>
      <c r="G29" s="227"/>
    </row>
    <row r="30" spans="1:8" s="254" customFormat="1" ht="13.5" customHeight="1" x14ac:dyDescent="0.2">
      <c r="A30" s="7" t="s">
        <v>196</v>
      </c>
      <c r="B30" s="81">
        <f>'Income Statement'!B20</f>
        <v>9008</v>
      </c>
      <c r="C30" s="81">
        <f>'Income Statement'!C20</f>
        <v>0</v>
      </c>
      <c r="D30" s="95"/>
      <c r="E30" s="81">
        <f>'Income Statement'!E20</f>
        <v>9008</v>
      </c>
      <c r="F30" s="81">
        <f>'Income Statement'!F20</f>
        <v>0</v>
      </c>
      <c r="G30" s="253"/>
    </row>
    <row r="31" spans="1:8" s="228" customFormat="1" ht="13.5" customHeight="1" x14ac:dyDescent="0.2">
      <c r="A31" s="7" t="s">
        <v>175</v>
      </c>
      <c r="B31" s="81">
        <f>'Income Statement'!B21</f>
        <v>0</v>
      </c>
      <c r="C31" s="81">
        <f>'Income Statement'!C21</f>
        <v>0</v>
      </c>
      <c r="D31" s="95"/>
      <c r="E31" s="81">
        <f>'Income Statement'!E21</f>
        <v>4304</v>
      </c>
      <c r="F31" s="81">
        <f>'Income Statement'!F21</f>
        <v>0</v>
      </c>
      <c r="G31" s="227"/>
    </row>
    <row r="32" spans="1:8" s="236" customFormat="1" ht="13.5" customHeight="1" x14ac:dyDescent="0.2">
      <c r="A32" s="7" t="s">
        <v>181</v>
      </c>
      <c r="B32" s="81">
        <f>'Income Statement'!B22</f>
        <v>0</v>
      </c>
      <c r="C32" s="81">
        <f>'Income Statement'!C22</f>
        <v>0</v>
      </c>
      <c r="D32" s="95"/>
      <c r="E32" s="81">
        <f>'Income Statement'!E22</f>
        <v>-39000</v>
      </c>
      <c r="F32" s="81">
        <f>'Income Statement'!F22</f>
        <v>0</v>
      </c>
      <c r="G32" s="235"/>
    </row>
    <row r="33" spans="1:8" s="197" customFormat="1" ht="13.5" customHeight="1" x14ac:dyDescent="0.2">
      <c r="A33" s="7" t="s">
        <v>138</v>
      </c>
      <c r="B33" s="81">
        <f>-'Income Statement'!B36</f>
        <v>-74</v>
      </c>
      <c r="C33" s="81">
        <f>-'Income Statement'!C36</f>
        <v>996</v>
      </c>
      <c r="D33" s="95"/>
      <c r="E33" s="81">
        <f>-'Income Statement'!E36</f>
        <v>2053</v>
      </c>
      <c r="F33" s="81">
        <f>-'Income Statement'!F36</f>
        <v>3202</v>
      </c>
      <c r="G33" s="196"/>
    </row>
    <row r="34" spans="1:8" s="38" customFormat="1" ht="13.5" customHeight="1" x14ac:dyDescent="0.2">
      <c r="A34" s="98" t="s">
        <v>71</v>
      </c>
      <c r="B34" s="81">
        <f>-'Income Statement'!B37</f>
        <v>0</v>
      </c>
      <c r="C34" s="81">
        <f>-'Income Statement'!C37</f>
        <v>0</v>
      </c>
      <c r="D34" s="95"/>
      <c r="E34" s="81">
        <f>-'Income Statement'!E37</f>
        <v>0</v>
      </c>
      <c r="F34" s="81">
        <f>-'Income Statement'!F37</f>
        <v>485</v>
      </c>
      <c r="G34" s="37"/>
    </row>
    <row r="35" spans="1:8" s="73" customFormat="1" ht="13.5" customHeight="1" x14ac:dyDescent="0.2">
      <c r="A35" s="7" t="s">
        <v>72</v>
      </c>
      <c r="B35" s="60">
        <f>-'Income Statement'!B38</f>
        <v>47</v>
      </c>
      <c r="C35" s="60">
        <f>-'Income Statement'!C38</f>
        <v>60</v>
      </c>
      <c r="D35" s="95"/>
      <c r="E35" s="60">
        <f>-'Income Statement'!E38</f>
        <v>-24</v>
      </c>
      <c r="F35" s="60">
        <f>-'Income Statement'!F38</f>
        <v>1661</v>
      </c>
      <c r="G35" s="72"/>
    </row>
    <row r="36" spans="1:8" ht="13.5" customHeight="1" x14ac:dyDescent="0.2">
      <c r="A36" s="7"/>
      <c r="B36" s="149"/>
      <c r="C36" s="83"/>
      <c r="D36" s="84"/>
      <c r="E36" s="149"/>
      <c r="F36" s="83"/>
      <c r="G36" s="3"/>
    </row>
    <row r="37" spans="1:8" ht="13.5" customHeight="1" x14ac:dyDescent="0.2">
      <c r="A37" s="8" t="s">
        <v>140</v>
      </c>
      <c r="B37" s="100">
        <f>SUM(B23:B36)</f>
        <v>43728</v>
      </c>
      <c r="C37" s="100">
        <f>SUM(C23:C36)</f>
        <v>122586</v>
      </c>
      <c r="D37" s="103"/>
      <c r="E37" s="100">
        <f>SUM(E23:E36)</f>
        <v>363167</v>
      </c>
      <c r="F37" s="100">
        <f>SUM(F23:F36)</f>
        <v>437778</v>
      </c>
      <c r="G37" s="9"/>
    </row>
    <row r="38" spans="1:8" ht="13.5" customHeight="1" x14ac:dyDescent="0.2">
      <c r="A38" s="243" t="s">
        <v>182</v>
      </c>
      <c r="B38" s="57">
        <v>9775</v>
      </c>
      <c r="C38" s="57">
        <v>-1527</v>
      </c>
      <c r="D38" s="95"/>
      <c r="E38" s="95">
        <v>12926</v>
      </c>
      <c r="F38" s="95">
        <v>2492</v>
      </c>
      <c r="G38" s="3"/>
      <c r="H38" s="32"/>
    </row>
    <row r="39" spans="1:8" ht="13.5" customHeight="1" x14ac:dyDescent="0.2">
      <c r="A39" s="242" t="s">
        <v>7</v>
      </c>
      <c r="B39" s="58">
        <f>'Income Statement'!B18</f>
        <v>21917</v>
      </c>
      <c r="C39" s="58">
        <f>'Income Statement'!C18</f>
        <v>26687</v>
      </c>
      <c r="D39" s="58"/>
      <c r="E39" s="58">
        <f>'Income Statement'!E18</f>
        <v>95781</v>
      </c>
      <c r="F39" s="58">
        <f>'Income Statement'!F18</f>
        <v>100300</v>
      </c>
    </row>
    <row r="40" spans="1:8" ht="13.5" customHeight="1" x14ac:dyDescent="0.2">
      <c r="A40" s="242" t="s">
        <v>46</v>
      </c>
      <c r="B40" s="60">
        <v>-1450</v>
      </c>
      <c r="C40" s="60">
        <v>-10075</v>
      </c>
      <c r="D40" s="58"/>
      <c r="E40" s="60">
        <v>-14488</v>
      </c>
      <c r="F40" s="60">
        <v>4099</v>
      </c>
      <c r="G40" s="32"/>
    </row>
    <row r="41" spans="1:8" ht="13.5" customHeight="1" x14ac:dyDescent="0.2">
      <c r="A41" s="240"/>
      <c r="B41" s="240"/>
      <c r="C41" s="240"/>
      <c r="D41" s="240"/>
      <c r="E41" s="240"/>
      <c r="F41" s="240"/>
    </row>
    <row r="42" spans="1:8" ht="13.5" customHeight="1" thickBot="1" x14ac:dyDescent="0.25">
      <c r="A42" s="240" t="s">
        <v>183</v>
      </c>
      <c r="B42" s="241">
        <f>SUM(B37:B40)</f>
        <v>73970</v>
      </c>
      <c r="C42" s="241">
        <f>SUM(C37:C40)</f>
        <v>137671</v>
      </c>
      <c r="D42" s="240"/>
      <c r="E42" s="241">
        <f>SUM(E37:E40)</f>
        <v>457386</v>
      </c>
      <c r="F42" s="241">
        <f>SUM(F37:F40)</f>
        <v>544669</v>
      </c>
    </row>
    <row r="43" spans="1:8" ht="13.5" customHeight="1" thickTop="1" x14ac:dyDescent="0.2">
      <c r="A43" s="240"/>
      <c r="B43" s="240"/>
      <c r="C43" s="240"/>
      <c r="D43" s="240"/>
      <c r="E43" s="240"/>
      <c r="F43" s="240"/>
    </row>
    <row r="44" spans="1:8" ht="13.5" customHeight="1" x14ac:dyDescent="0.2">
      <c r="A44" s="242" t="s">
        <v>184</v>
      </c>
      <c r="B44" s="242"/>
      <c r="C44" s="242"/>
      <c r="D44" s="242"/>
      <c r="E44" s="242"/>
      <c r="F44" s="242"/>
    </row>
    <row r="45" spans="1:8" ht="13.5" customHeight="1" x14ac:dyDescent="0.2">
      <c r="A45" s="46" t="s">
        <v>84</v>
      </c>
      <c r="B45" s="56">
        <v>25095</v>
      </c>
      <c r="C45" s="56">
        <v>23886</v>
      </c>
      <c r="D45" s="56"/>
      <c r="E45" s="56">
        <v>110528</v>
      </c>
      <c r="F45" s="56">
        <v>126525</v>
      </c>
      <c r="H45" s="220"/>
    </row>
    <row r="46" spans="1:8" ht="13.5" customHeight="1" x14ac:dyDescent="0.2">
      <c r="A46" s="46" t="s">
        <v>89</v>
      </c>
      <c r="B46" s="58">
        <v>41079</v>
      </c>
      <c r="C46" s="58">
        <v>97875</v>
      </c>
      <c r="D46" s="58"/>
      <c r="E46" s="58">
        <v>305363</v>
      </c>
      <c r="F46" s="58">
        <v>349524</v>
      </c>
      <c r="H46" s="32"/>
    </row>
    <row r="47" spans="1:8" ht="13.5" customHeight="1" x14ac:dyDescent="0.2">
      <c r="A47" s="46" t="s">
        <v>90</v>
      </c>
      <c r="B47" s="60">
        <v>7796</v>
      </c>
      <c r="C47" s="60">
        <v>15910</v>
      </c>
      <c r="D47" s="58"/>
      <c r="E47" s="60">
        <v>41495</v>
      </c>
      <c r="F47" s="60">
        <v>68620</v>
      </c>
      <c r="H47" s="32"/>
    </row>
    <row r="48" spans="1:8" ht="13.5" customHeight="1" x14ac:dyDescent="0.2">
      <c r="A48" s="35"/>
      <c r="B48" s="58"/>
      <c r="C48" s="58"/>
      <c r="D48" s="58"/>
      <c r="E48" s="58"/>
      <c r="F48" s="58"/>
    </row>
    <row r="49" spans="1:6" ht="13.5" customHeight="1" thickBot="1" x14ac:dyDescent="0.25">
      <c r="A49" s="242" t="s">
        <v>185</v>
      </c>
      <c r="B49" s="226">
        <f>SUM(B45:B48)</f>
        <v>73970</v>
      </c>
      <c r="C49" s="226">
        <f>SUM(C45:C48)</f>
        <v>137671</v>
      </c>
      <c r="D49" s="251"/>
      <c r="E49" s="226">
        <f>SUM(E45:E48)</f>
        <v>457386</v>
      </c>
      <c r="F49" s="226">
        <f>SUM(F45:F48)</f>
        <v>544669</v>
      </c>
    </row>
    <row r="50" spans="1:6" ht="13.5" customHeight="1" thickTop="1" x14ac:dyDescent="0.2"/>
    <row r="51" spans="1:6" ht="13.5" customHeight="1" x14ac:dyDescent="0.2">
      <c r="E51" s="220"/>
    </row>
    <row r="52" spans="1:6" ht="13.5" customHeight="1" x14ac:dyDescent="0.2">
      <c r="E52" s="220"/>
    </row>
    <row r="53" spans="1:6" ht="13.5" customHeight="1" x14ac:dyDescent="0.2">
      <c r="E53" s="220"/>
    </row>
  </sheetData>
  <mergeCells count="18"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A17:F17"/>
    <mergeCell ref="B20:C20"/>
    <mergeCell ref="E20:F20"/>
    <mergeCell ref="B22:C22"/>
    <mergeCell ref="A14:F14"/>
    <mergeCell ref="A15:F15"/>
    <mergeCell ref="A16:F16"/>
    <mergeCell ref="A18:F18"/>
    <mergeCell ref="E22:F22"/>
  </mergeCell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8"/>
  <sheetViews>
    <sheetView workbookViewId="0">
      <selection activeCell="E9" sqref="E9"/>
    </sheetView>
  </sheetViews>
  <sheetFormatPr defaultRowHeight="12.75" x14ac:dyDescent="0.2"/>
  <cols>
    <col min="1" max="1" width="59.6640625" style="128" bestFit="1" customWidth="1"/>
    <col min="2" max="6" width="20.83203125" style="128" customWidth="1"/>
    <col min="7" max="7" width="10.83203125" style="128" bestFit="1" customWidth="1"/>
    <col min="8" max="16384" width="9.33203125" style="128"/>
  </cols>
  <sheetData>
    <row r="1" spans="1:7" ht="15.75" x14ac:dyDescent="0.25">
      <c r="A1" s="270" t="s">
        <v>0</v>
      </c>
      <c r="B1" s="270"/>
      <c r="C1" s="271"/>
      <c r="D1" s="271"/>
      <c r="E1" s="271"/>
      <c r="F1" s="274"/>
      <c r="G1" s="274"/>
    </row>
    <row r="2" spans="1:7" ht="15.75" x14ac:dyDescent="0.25">
      <c r="A2" s="270" t="s">
        <v>112</v>
      </c>
      <c r="B2" s="270"/>
      <c r="C2" s="271"/>
      <c r="D2" s="271"/>
      <c r="E2" s="271"/>
      <c r="F2" s="275"/>
      <c r="G2" s="271"/>
    </row>
    <row r="3" spans="1:7" ht="15.75" x14ac:dyDescent="0.25">
      <c r="A3" s="270" t="s">
        <v>177</v>
      </c>
      <c r="B3" s="270"/>
      <c r="C3" s="271"/>
      <c r="D3" s="271"/>
      <c r="E3" s="271"/>
      <c r="F3" s="275"/>
      <c r="G3" s="271"/>
    </row>
    <row r="4" spans="1:7" x14ac:dyDescent="0.2">
      <c r="A4" s="257"/>
      <c r="B4" s="257"/>
      <c r="C4" s="257"/>
      <c r="D4" s="257"/>
      <c r="E4" s="257"/>
      <c r="F4" s="257"/>
      <c r="G4" s="257"/>
    </row>
    <row r="5" spans="1:7" x14ac:dyDescent="0.2">
      <c r="A5" s="184" t="s">
        <v>211</v>
      </c>
      <c r="B5" s="184"/>
      <c r="C5" s="184"/>
      <c r="D5" s="184"/>
    </row>
    <row r="6" spans="1:7" x14ac:dyDescent="0.2">
      <c r="A6" s="184" t="s">
        <v>212</v>
      </c>
      <c r="B6" s="182"/>
      <c r="C6" s="182"/>
      <c r="D6" s="182"/>
    </row>
    <row r="7" spans="1:7" ht="12.75" customHeight="1" x14ac:dyDescent="0.2">
      <c r="A7" s="185" t="s">
        <v>216</v>
      </c>
      <c r="B7" s="186"/>
      <c r="C7" s="186"/>
      <c r="D7" s="186"/>
    </row>
    <row r="8" spans="1:7" x14ac:dyDescent="0.2">
      <c r="A8" s="185" t="s">
        <v>217</v>
      </c>
      <c r="B8" s="186"/>
      <c r="C8" s="186"/>
      <c r="D8" s="186"/>
    </row>
    <row r="10" spans="1:7" x14ac:dyDescent="0.2">
      <c r="A10" s="183" t="s">
        <v>129</v>
      </c>
    </row>
    <row r="11" spans="1:7" ht="45" x14ac:dyDescent="0.25">
      <c r="A11" s="163" t="str">
        <f>'NON-GAAP Sales'!A18</f>
        <v>Quarter ended December 31, 2019</v>
      </c>
      <c r="B11" s="164" t="s">
        <v>89</v>
      </c>
      <c r="C11" s="165" t="s">
        <v>209</v>
      </c>
      <c r="D11" s="166" t="s">
        <v>210</v>
      </c>
    </row>
    <row r="12" spans="1:7" x14ac:dyDescent="0.2">
      <c r="A12" s="256" t="s">
        <v>13</v>
      </c>
      <c r="B12" s="167"/>
      <c r="C12" s="168"/>
      <c r="D12" s="168"/>
    </row>
    <row r="13" spans="1:7" x14ac:dyDescent="0.2">
      <c r="A13" s="256" t="s">
        <v>159</v>
      </c>
      <c r="B13" s="172">
        <v>221551</v>
      </c>
      <c r="C13" s="172">
        <f>22809+5759</f>
        <v>28568</v>
      </c>
      <c r="D13" s="172">
        <f>B13-C13</f>
        <v>192983</v>
      </c>
      <c r="G13" s="250"/>
    </row>
    <row r="14" spans="1:7" ht="25.5" x14ac:dyDescent="0.2">
      <c r="A14" s="256" t="s">
        <v>115</v>
      </c>
      <c r="B14" s="172"/>
      <c r="C14" s="172"/>
      <c r="D14" s="172"/>
    </row>
    <row r="15" spans="1:7" ht="25.5" x14ac:dyDescent="0.2">
      <c r="A15" s="170" t="s">
        <v>116</v>
      </c>
      <c r="B15" s="199">
        <v>-616</v>
      </c>
      <c r="C15" s="199">
        <v>-616</v>
      </c>
      <c r="D15" s="199">
        <f>B15-C15</f>
        <v>0</v>
      </c>
    </row>
    <row r="16" spans="1:7" ht="25.5" x14ac:dyDescent="0.2">
      <c r="A16" s="170" t="s">
        <v>117</v>
      </c>
      <c r="B16" s="199">
        <v>0</v>
      </c>
      <c r="C16" s="215">
        <v>0</v>
      </c>
      <c r="D16" s="199">
        <f t="shared" ref="D16" si="0">B16-C16</f>
        <v>0</v>
      </c>
    </row>
    <row r="17" spans="1:4" x14ac:dyDescent="0.2">
      <c r="A17" s="170" t="s">
        <v>118</v>
      </c>
      <c r="B17" s="215">
        <v>41165</v>
      </c>
      <c r="C17" s="199">
        <f>4423+427</f>
        <v>4850</v>
      </c>
      <c r="D17" s="199">
        <f>B17-C17</f>
        <v>36315</v>
      </c>
    </row>
    <row r="18" spans="1:4" ht="13.5" thickBot="1" x14ac:dyDescent="0.25">
      <c r="A18" s="256" t="s">
        <v>119</v>
      </c>
      <c r="B18" s="202">
        <f>B13-SUM(B15:B17)</f>
        <v>181002</v>
      </c>
      <c r="C18" s="202">
        <f>C13-SUM(C15:C17)</f>
        <v>24334</v>
      </c>
      <c r="D18" s="202">
        <f>B18-C18</f>
        <v>156668</v>
      </c>
    </row>
    <row r="19" spans="1:4" ht="13.5" thickTop="1" x14ac:dyDescent="0.2">
      <c r="A19" s="256" t="s">
        <v>120</v>
      </c>
      <c r="B19" s="247">
        <f>1.99976099*1000</f>
        <v>1999.76099</v>
      </c>
      <c r="C19" s="215">
        <f>225.20068+51.079294</f>
        <v>276.27997399999998</v>
      </c>
      <c r="D19" s="215">
        <f>B19-C19</f>
        <v>1723.481016</v>
      </c>
    </row>
    <row r="20" spans="1:4" x14ac:dyDescent="0.2">
      <c r="A20" s="256" t="s">
        <v>213</v>
      </c>
      <c r="B20" s="201">
        <f>B18/B19</f>
        <v>90.51181661464453</v>
      </c>
      <c r="C20" s="201">
        <f>C18/C19</f>
        <v>88.077321159730531</v>
      </c>
      <c r="D20" s="201">
        <f>D18/D19</f>
        <v>90.902074664917578</v>
      </c>
    </row>
    <row r="22" spans="1:4" x14ac:dyDescent="0.2">
      <c r="A22" s="256"/>
      <c r="B22" s="169"/>
      <c r="C22" s="169"/>
      <c r="D22" s="169"/>
    </row>
    <row r="23" spans="1:4" ht="15" x14ac:dyDescent="0.25">
      <c r="A23" s="177"/>
      <c r="B23" s="178"/>
      <c r="C23" s="179"/>
      <c r="D23" s="178"/>
    </row>
    <row r="24" spans="1:4" ht="15" x14ac:dyDescent="0.25">
      <c r="A24" s="183" t="s">
        <v>131</v>
      </c>
      <c r="B24" s="178"/>
      <c r="C24" s="179"/>
      <c r="D24" s="180"/>
    </row>
    <row r="25" spans="1:4" ht="45" x14ac:dyDescent="0.25">
      <c r="A25" s="163" t="str">
        <f>A11</f>
        <v>Quarter ended December 31, 2019</v>
      </c>
      <c r="B25" s="164" t="s">
        <v>89</v>
      </c>
      <c r="C25" s="165" t="s">
        <v>209</v>
      </c>
      <c r="D25" s="166" t="s">
        <v>210</v>
      </c>
    </row>
    <row r="26" spans="1:4" x14ac:dyDescent="0.2">
      <c r="A26" s="256" t="s">
        <v>13</v>
      </c>
      <c r="B26" s="167"/>
      <c r="C26" s="168"/>
      <c r="D26" s="168"/>
    </row>
    <row r="27" spans="1:4" ht="25.5" x14ac:dyDescent="0.2">
      <c r="A27" s="256" t="s">
        <v>166</v>
      </c>
      <c r="B27" s="172">
        <v>181192</v>
      </c>
      <c r="C27" s="172">
        <f>38492+5581</f>
        <v>44073</v>
      </c>
      <c r="D27" s="172">
        <f>B27-C27</f>
        <v>137119</v>
      </c>
    </row>
    <row r="28" spans="1:4" ht="25.5" x14ac:dyDescent="0.2">
      <c r="A28" s="256" t="s">
        <v>122</v>
      </c>
      <c r="B28" s="172"/>
      <c r="C28" s="172"/>
      <c r="D28" s="172"/>
    </row>
    <row r="29" spans="1:4" ht="25.5" x14ac:dyDescent="0.2">
      <c r="A29" s="170" t="s">
        <v>123</v>
      </c>
      <c r="B29" s="199">
        <v>0</v>
      </c>
      <c r="C29" s="199">
        <v>0</v>
      </c>
      <c r="D29" s="199">
        <f>B29-C29</f>
        <v>0</v>
      </c>
    </row>
    <row r="30" spans="1:4" x14ac:dyDescent="0.2">
      <c r="A30" s="170" t="s">
        <v>118</v>
      </c>
      <c r="B30" s="215">
        <f>B17</f>
        <v>41165</v>
      </c>
      <c r="C30" s="215">
        <f>C17</f>
        <v>4850</v>
      </c>
      <c r="D30" s="199">
        <f t="shared" ref="D30:D32" si="1">B30-C30</f>
        <v>36315</v>
      </c>
    </row>
    <row r="31" spans="1:4" ht="25.5" x14ac:dyDescent="0.2">
      <c r="A31" s="170" t="s">
        <v>124</v>
      </c>
      <c r="B31" s="199">
        <v>0</v>
      </c>
      <c r="C31" s="199">
        <v>0</v>
      </c>
      <c r="D31" s="199">
        <f t="shared" si="1"/>
        <v>0</v>
      </c>
    </row>
    <row r="32" spans="1:4" x14ac:dyDescent="0.2">
      <c r="A32" s="170" t="s">
        <v>125</v>
      </c>
      <c r="B32" s="199">
        <v>0</v>
      </c>
      <c r="C32" s="199">
        <v>0</v>
      </c>
      <c r="D32" s="199">
        <f t="shared" si="1"/>
        <v>0</v>
      </c>
    </row>
    <row r="33" spans="1:4" ht="13.5" thickBot="1" x14ac:dyDescent="0.25">
      <c r="A33" s="256" t="s">
        <v>126</v>
      </c>
      <c r="B33" s="202">
        <f t="shared" ref="B33" si="2">B27-SUM(B29:B32)</f>
        <v>140027</v>
      </c>
      <c r="C33" s="202">
        <f t="shared" ref="C33" si="3">C27-SUM(C29:C32)</f>
        <v>39223</v>
      </c>
      <c r="D33" s="202">
        <f>B33-C33</f>
        <v>100804</v>
      </c>
    </row>
    <row r="34" spans="1:4" ht="13.5" thickTop="1" x14ac:dyDescent="0.2">
      <c r="A34" s="256" t="s">
        <v>120</v>
      </c>
      <c r="B34" s="215">
        <f>B19</f>
        <v>1999.76099</v>
      </c>
      <c r="C34" s="215">
        <f>C19</f>
        <v>276.27997399999998</v>
      </c>
      <c r="D34" s="215">
        <f>D19</f>
        <v>1723.481016</v>
      </c>
    </row>
    <row r="35" spans="1:4" x14ac:dyDescent="0.2">
      <c r="A35" s="256" t="s">
        <v>214</v>
      </c>
      <c r="B35" s="201">
        <f>B33/B34</f>
        <v>70.021867963330962</v>
      </c>
      <c r="C35" s="201">
        <f>C33/C34</f>
        <v>141.96830639632245</v>
      </c>
      <c r="D35" s="201">
        <f>D33/D34</f>
        <v>58.488604785421089</v>
      </c>
    </row>
    <row r="36" spans="1:4" x14ac:dyDescent="0.2">
      <c r="A36" s="171"/>
      <c r="B36" s="171"/>
      <c r="C36" s="171"/>
      <c r="D36" s="171"/>
    </row>
    <row r="37" spans="1:4" x14ac:dyDescent="0.2">
      <c r="A37" s="171" t="s">
        <v>215</v>
      </c>
      <c r="B37" s="259">
        <f>B20-B35</f>
        <v>20.489948651313568</v>
      </c>
      <c r="C37" s="259">
        <f t="shared" ref="C37:D37" si="4">C20-C35</f>
        <v>-53.890985236591916</v>
      </c>
      <c r="D37" s="259">
        <f t="shared" si="4"/>
        <v>32.413469879496489</v>
      </c>
    </row>
    <row r="38" spans="1:4" x14ac:dyDescent="0.2">
      <c r="A38" s="171"/>
      <c r="B38" s="171"/>
      <c r="C38" s="171"/>
      <c r="D38" s="171"/>
    </row>
    <row r="39" spans="1:4" x14ac:dyDescent="0.2">
      <c r="A39" s="171"/>
      <c r="B39" s="171"/>
      <c r="C39" s="171"/>
      <c r="D39" s="171"/>
    </row>
    <row r="40" spans="1:4" x14ac:dyDescent="0.2">
      <c r="A40" s="171"/>
      <c r="B40" s="171"/>
      <c r="C40" s="171"/>
      <c r="D40" s="171"/>
    </row>
    <row r="41" spans="1:4" x14ac:dyDescent="0.2">
      <c r="A41" s="171"/>
      <c r="B41" s="171"/>
      <c r="C41" s="171"/>
      <c r="D41" s="171"/>
    </row>
    <row r="42" spans="1:4" x14ac:dyDescent="0.2">
      <c r="A42" s="171"/>
      <c r="B42" s="171"/>
      <c r="C42" s="171"/>
      <c r="D42" s="171"/>
    </row>
    <row r="43" spans="1:4" x14ac:dyDescent="0.2">
      <c r="A43" s="171"/>
      <c r="B43" s="171"/>
      <c r="C43" s="171"/>
      <c r="D43" s="171"/>
    </row>
    <row r="44" spans="1:4" x14ac:dyDescent="0.2">
      <c r="A44" s="171"/>
      <c r="B44" s="171"/>
      <c r="C44" s="171"/>
      <c r="D44" s="171"/>
    </row>
    <row r="45" spans="1:4" x14ac:dyDescent="0.2">
      <c r="A45" s="171"/>
      <c r="B45" s="171"/>
      <c r="C45" s="171"/>
      <c r="D45" s="171"/>
    </row>
    <row r="46" spans="1:4" x14ac:dyDescent="0.2">
      <c r="A46" s="171"/>
      <c r="B46" s="171"/>
      <c r="C46" s="171"/>
      <c r="D46" s="171"/>
    </row>
    <row r="47" spans="1:4" x14ac:dyDescent="0.2">
      <c r="A47" s="171"/>
      <c r="B47" s="171"/>
      <c r="C47" s="171"/>
      <c r="D47" s="171"/>
    </row>
    <row r="48" spans="1:4" x14ac:dyDescent="0.2">
      <c r="A48" s="171"/>
      <c r="B48" s="171"/>
      <c r="C48" s="171"/>
      <c r="D48" s="171"/>
    </row>
    <row r="49" spans="1:4" x14ac:dyDescent="0.2">
      <c r="A49" s="171"/>
      <c r="B49" s="171"/>
      <c r="C49" s="171"/>
      <c r="D49" s="171"/>
    </row>
    <row r="50" spans="1:4" x14ac:dyDescent="0.2">
      <c r="A50" s="171"/>
      <c r="B50" s="171"/>
      <c r="C50" s="171"/>
      <c r="D50" s="171"/>
    </row>
    <row r="51" spans="1:4" x14ac:dyDescent="0.2">
      <c r="A51" s="171"/>
      <c r="B51" s="171"/>
      <c r="C51" s="171"/>
      <c r="D51" s="171"/>
    </row>
    <row r="52" spans="1:4" x14ac:dyDescent="0.2">
      <c r="A52" s="171"/>
      <c r="B52" s="171"/>
      <c r="C52" s="171"/>
      <c r="D52" s="171"/>
    </row>
    <row r="53" spans="1:4" x14ac:dyDescent="0.2">
      <c r="A53" s="171"/>
      <c r="B53" s="171"/>
      <c r="C53" s="171"/>
      <c r="D53" s="171"/>
    </row>
    <row r="54" spans="1:4" x14ac:dyDescent="0.2">
      <c r="A54" s="171"/>
      <c r="B54" s="171"/>
      <c r="C54" s="171"/>
      <c r="D54" s="171"/>
    </row>
    <row r="55" spans="1:4" x14ac:dyDescent="0.2">
      <c r="A55" s="171"/>
      <c r="B55" s="171"/>
      <c r="C55" s="171"/>
      <c r="D55" s="171"/>
    </row>
    <row r="56" spans="1:4" x14ac:dyDescent="0.2">
      <c r="A56" s="171"/>
      <c r="B56" s="171"/>
      <c r="C56" s="171"/>
      <c r="D56" s="171"/>
    </row>
    <row r="57" spans="1:4" x14ac:dyDescent="0.2">
      <c r="A57" s="171"/>
      <c r="B57" s="171"/>
      <c r="C57" s="171"/>
      <c r="D57" s="171"/>
    </row>
    <row r="58" spans="1:4" x14ac:dyDescent="0.2">
      <c r="A58" s="171"/>
      <c r="B58" s="171"/>
      <c r="C58" s="171"/>
      <c r="D58" s="171"/>
    </row>
    <row r="59" spans="1:4" x14ac:dyDescent="0.2">
      <c r="A59" s="171"/>
      <c r="B59" s="171"/>
      <c r="C59" s="171"/>
      <c r="D59" s="171"/>
    </row>
    <row r="60" spans="1:4" x14ac:dyDescent="0.2">
      <c r="A60" s="171"/>
      <c r="B60" s="171"/>
      <c r="C60" s="171"/>
      <c r="D60" s="171"/>
    </row>
    <row r="61" spans="1:4" x14ac:dyDescent="0.2">
      <c r="A61" s="171"/>
      <c r="B61" s="171"/>
      <c r="C61" s="171"/>
      <c r="D61" s="171"/>
    </row>
    <row r="62" spans="1:4" x14ac:dyDescent="0.2">
      <c r="A62" s="171"/>
      <c r="B62" s="171"/>
      <c r="C62" s="171"/>
      <c r="D62" s="171"/>
    </row>
    <row r="63" spans="1:4" x14ac:dyDescent="0.2">
      <c r="A63" s="171"/>
      <c r="B63" s="171"/>
      <c r="C63" s="171"/>
      <c r="D63" s="171"/>
    </row>
    <row r="64" spans="1:4" x14ac:dyDescent="0.2">
      <c r="A64" s="171"/>
      <c r="B64" s="171"/>
      <c r="C64" s="171"/>
      <c r="D64" s="171"/>
    </row>
    <row r="65" spans="1:4" x14ac:dyDescent="0.2">
      <c r="A65" s="171"/>
      <c r="B65" s="171"/>
      <c r="C65" s="171"/>
      <c r="D65" s="171"/>
    </row>
    <row r="66" spans="1:4" x14ac:dyDescent="0.2">
      <c r="A66" s="171"/>
      <c r="B66" s="171"/>
      <c r="C66" s="171"/>
      <c r="D66" s="171"/>
    </row>
    <row r="67" spans="1:4" x14ac:dyDescent="0.2">
      <c r="A67" s="171"/>
      <c r="B67" s="171"/>
      <c r="C67" s="171"/>
      <c r="D67" s="171"/>
    </row>
    <row r="68" spans="1:4" x14ac:dyDescent="0.2">
      <c r="A68" s="171"/>
      <c r="B68" s="171"/>
      <c r="C68" s="171"/>
      <c r="D68" s="171"/>
    </row>
  </sheetData>
  <mergeCells count="3">
    <mergeCell ref="A1:G1"/>
    <mergeCell ref="A2:G2"/>
    <mergeCell ref="A3:G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MTNL Rec</vt:lpstr>
      <vt:lpstr>'MTNL Rec'!OLE_LINK1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2020-02-05T14:18:31Z</cp:lastPrinted>
  <dcterms:created xsi:type="dcterms:W3CDTF">2015-01-20T16:57:13Z</dcterms:created>
  <dcterms:modified xsi:type="dcterms:W3CDTF">2020-02-05T15:22:46Z</dcterms:modified>
</cp:coreProperties>
</file>