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9\Q2-2019\"/>
    </mc:Choice>
  </mc:AlternateContent>
  <bookViews>
    <workbookView xWindow="240" yWindow="360" windowWidth="21075" windowHeight="9540"/>
  </bookViews>
  <sheets>
    <sheet name="Income Statement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Sheet'!$A$1:$C$52</definedName>
    <definedName name="_xlnm.Print_Area" localSheetId="0">'Income Statement'!$A$1:$F$55</definedName>
    <definedName name="_xlnm.Print_Area" localSheetId="7">'Reconciliation page'!$A$5:$F$36</definedName>
    <definedName name="_xlnm.Print_Area" localSheetId="2">'Statement of Cash Flows'!$A$1:$C$58</definedName>
    <definedName name="_xlnm.Print_Titles" localSheetId="7">'Reconciliation page'!$1:$4</definedName>
  </definedNames>
  <calcPr calcId="162913" calcOnSave="0"/>
</workbook>
</file>

<file path=xl/calcChain.xml><?xml version="1.0" encoding="utf-8"?>
<calcChain xmlns="http://schemas.openxmlformats.org/spreadsheetml/2006/main">
  <c r="B32" i="8" l="1"/>
  <c r="B25" i="4" l="1"/>
  <c r="B32" i="2"/>
  <c r="I19" i="1"/>
  <c r="B27" i="4" l="1"/>
  <c r="B42" i="2" l="1"/>
  <c r="B33" i="2"/>
  <c r="I20" i="1"/>
  <c r="B26" i="4" l="1"/>
  <c r="B26" i="2" l="1"/>
  <c r="B19" i="2"/>
  <c r="B31" i="4" l="1"/>
  <c r="B14" i="4"/>
  <c r="B13" i="4"/>
  <c r="B12" i="4"/>
  <c r="C27" i="8" l="1"/>
  <c r="C20" i="8"/>
  <c r="C13" i="8"/>
  <c r="B29" i="3" l="1"/>
  <c r="C29" i="3"/>
  <c r="E29" i="3"/>
  <c r="F29" i="3"/>
  <c r="E18" i="1"/>
  <c r="F30" i="3"/>
  <c r="E30" i="3"/>
  <c r="C30" i="3"/>
  <c r="B30" i="3"/>
  <c r="E21" i="1"/>
  <c r="F62" i="2" l="1"/>
  <c r="F61" i="2"/>
  <c r="E13" i="1"/>
  <c r="G26" i="8" l="1"/>
  <c r="G25" i="8"/>
  <c r="G19" i="8"/>
  <c r="G18" i="8"/>
  <c r="D20" i="8" l="1"/>
  <c r="E26" i="8"/>
  <c r="E25" i="8"/>
  <c r="E19" i="8"/>
  <c r="E18" i="8"/>
  <c r="E13" i="8"/>
  <c r="E12" i="8"/>
  <c r="E11" i="8"/>
  <c r="C14" i="4"/>
  <c r="C13" i="4"/>
  <c r="C12" i="4"/>
  <c r="H37" i="1"/>
  <c r="H29" i="1"/>
  <c r="H22" i="1"/>
  <c r="H24" i="1" s="1"/>
  <c r="H31" i="1" s="1"/>
  <c r="H39" i="1" l="1"/>
  <c r="H42" i="1" s="1"/>
  <c r="C26" i="8"/>
  <c r="C25" i="8"/>
  <c r="C19" i="8"/>
  <c r="C18" i="8"/>
  <c r="C12" i="8"/>
  <c r="C11" i="8"/>
  <c r="B33" i="10" l="1"/>
  <c r="C33" i="10"/>
  <c r="D33" i="10"/>
  <c r="E33" i="10"/>
  <c r="B20" i="8"/>
  <c r="G12" i="8"/>
  <c r="G11" i="8"/>
  <c r="I38" i="1" l="1"/>
  <c r="I40" i="1"/>
  <c r="I41" i="1"/>
  <c r="B37" i="10" l="1"/>
  <c r="C37" i="10"/>
  <c r="D37" i="10"/>
  <c r="I14" i="1" l="1"/>
  <c r="I15" i="1"/>
  <c r="I16" i="1"/>
  <c r="I17" i="1"/>
  <c r="I18" i="1"/>
  <c r="I23" i="1"/>
  <c r="I25" i="1"/>
  <c r="I26" i="1"/>
  <c r="I27" i="1"/>
  <c r="I28" i="1"/>
  <c r="I30" i="1"/>
  <c r="I32" i="1"/>
  <c r="I33" i="1"/>
  <c r="I34" i="1"/>
  <c r="I35" i="1"/>
  <c r="I36" i="1"/>
  <c r="I10" i="1"/>
  <c r="I21" i="1"/>
  <c r="I13" i="1"/>
  <c r="E49" i="9" l="1"/>
  <c r="D49" i="9"/>
  <c r="C49" i="9"/>
  <c r="B49" i="9"/>
  <c r="E37" i="9"/>
  <c r="D37" i="9"/>
  <c r="C37" i="9"/>
  <c r="B37" i="9"/>
  <c r="C25" i="9"/>
  <c r="D25" i="9"/>
  <c r="E25" i="9"/>
  <c r="B25" i="9"/>
  <c r="C46" i="10" l="1"/>
  <c r="D46" i="10"/>
  <c r="E46" i="10"/>
  <c r="B46" i="10"/>
  <c r="E20" i="10" l="1"/>
  <c r="C20" i="10"/>
  <c r="D20" i="10"/>
  <c r="B20" i="10"/>
  <c r="C50" i="10"/>
  <c r="D50" i="10"/>
  <c r="B50" i="10"/>
  <c r="C24" i="10"/>
  <c r="D24" i="10"/>
  <c r="B24" i="10"/>
  <c r="F46" i="4" l="1"/>
  <c r="F45" i="4"/>
  <c r="F44" i="4"/>
  <c r="F43" i="4"/>
  <c r="F42" i="4"/>
  <c r="F41" i="4"/>
  <c r="F40" i="4"/>
  <c r="F36" i="4"/>
  <c r="F35" i="4"/>
  <c r="F34" i="4"/>
  <c r="F33" i="4"/>
  <c r="F32" i="4"/>
  <c r="F31" i="4"/>
  <c r="F27" i="4"/>
  <c r="F26" i="4"/>
  <c r="F25" i="4"/>
  <c r="F24" i="4"/>
  <c r="F23" i="4"/>
  <c r="F15" i="4"/>
  <c r="F16" i="4"/>
  <c r="F17" i="4"/>
  <c r="F18" i="4"/>
  <c r="F19" i="4"/>
  <c r="F20" i="4"/>
  <c r="F58" i="4"/>
  <c r="E58" i="4"/>
  <c r="E50" i="4"/>
  <c r="E47" i="4"/>
  <c r="E37" i="4"/>
  <c r="E28" i="4"/>
  <c r="F47" i="4" l="1"/>
  <c r="F37" i="4"/>
  <c r="E49" i="4"/>
  <c r="E52" i="4" s="1"/>
  <c r="F14" i="4"/>
  <c r="F13" i="4"/>
  <c r="F12" i="4"/>
  <c r="F33" i="3" l="1"/>
  <c r="E33" i="3"/>
  <c r="F32" i="3"/>
  <c r="E32" i="3"/>
  <c r="F31" i="3"/>
  <c r="E31" i="3"/>
  <c r="F28" i="3"/>
  <c r="E28" i="3"/>
  <c r="F27" i="3"/>
  <c r="E27" i="3"/>
  <c r="F26" i="3"/>
  <c r="E26" i="3"/>
  <c r="F24" i="3"/>
  <c r="E24" i="3"/>
  <c r="E37" i="1" l="1"/>
  <c r="I37" i="1" s="1"/>
  <c r="F37" i="1"/>
  <c r="F29" i="1"/>
  <c r="F25" i="3" s="1"/>
  <c r="E29" i="1"/>
  <c r="I29" i="1" s="1"/>
  <c r="F22" i="1"/>
  <c r="F24" i="1" s="1"/>
  <c r="E22" i="1"/>
  <c r="I22" i="1" s="1"/>
  <c r="E25" i="3" l="1"/>
  <c r="E24" i="1"/>
  <c r="I24" i="1" s="1"/>
  <c r="F31" i="1"/>
  <c r="F39" i="1" s="1"/>
  <c r="F42" i="1" s="1"/>
  <c r="C10" i="4" s="1"/>
  <c r="E31" i="1" l="1"/>
  <c r="I31" i="1" s="1"/>
  <c r="F46" i="1"/>
  <c r="F23" i="3"/>
  <c r="F45" i="1"/>
  <c r="E39" i="1" l="1"/>
  <c r="I39" i="1" s="1"/>
  <c r="F35" i="3"/>
  <c r="F54" i="1" s="1"/>
  <c r="E42" i="1" l="1"/>
  <c r="B10" i="4" s="1"/>
  <c r="I42" i="1" l="1"/>
  <c r="F56" i="2"/>
  <c r="E23" i="3"/>
  <c r="E35" i="3" s="1"/>
  <c r="E54" i="1" s="1"/>
  <c r="E45" i="1"/>
  <c r="E46" i="1"/>
  <c r="B31" i="3"/>
  <c r="E49" i="10" l="1"/>
  <c r="D49" i="10"/>
  <c r="D51" i="10" s="1"/>
  <c r="C49" i="10"/>
  <c r="C51" i="10" s="1"/>
  <c r="B49" i="10"/>
  <c r="B51" i="10" s="1"/>
  <c r="F48" i="10"/>
  <c r="F47" i="10"/>
  <c r="F46" i="10"/>
  <c r="F45" i="10"/>
  <c r="F43" i="10"/>
  <c r="E23" i="10"/>
  <c r="D23" i="10"/>
  <c r="D25" i="10" s="1"/>
  <c r="C23" i="10"/>
  <c r="C25" i="10" s="1"/>
  <c r="B23" i="10"/>
  <c r="B25" i="10" s="1"/>
  <c r="F22" i="10"/>
  <c r="F21" i="10"/>
  <c r="F20" i="10"/>
  <c r="F19" i="10"/>
  <c r="F17" i="10"/>
  <c r="C36" i="10"/>
  <c r="C38" i="10" s="1"/>
  <c r="D36" i="10"/>
  <c r="D38" i="10" s="1"/>
  <c r="E36" i="10"/>
  <c r="B36" i="10"/>
  <c r="B38" i="10" s="1"/>
  <c r="F33" i="10"/>
  <c r="F34" i="10"/>
  <c r="F35" i="10"/>
  <c r="F32" i="10"/>
  <c r="F30" i="10"/>
  <c r="F48" i="9"/>
  <c r="F47" i="9"/>
  <c r="F46" i="9"/>
  <c r="D51" i="9"/>
  <c r="C51" i="9"/>
  <c r="B51" i="9"/>
  <c r="F44" i="9"/>
  <c r="F24" i="9"/>
  <c r="F23" i="9"/>
  <c r="F22" i="9"/>
  <c r="D27" i="9"/>
  <c r="C27" i="9"/>
  <c r="B27" i="9"/>
  <c r="F20" i="9"/>
  <c r="F36" i="9"/>
  <c r="F35" i="9"/>
  <c r="F34" i="9"/>
  <c r="C39" i="9"/>
  <c r="D39" i="9"/>
  <c r="B39" i="9"/>
  <c r="F32" i="9"/>
  <c r="F49" i="9" l="1"/>
  <c r="F37" i="9"/>
  <c r="F25" i="9"/>
  <c r="F49" i="10"/>
  <c r="F23" i="10"/>
  <c r="F36" i="10"/>
  <c r="A41" i="10" l="1"/>
  <c r="A28" i="10"/>
  <c r="A15" i="10"/>
  <c r="B55" i="4" l="1"/>
  <c r="C31" i="3" l="1"/>
  <c r="B58" i="4"/>
  <c r="C58" i="4"/>
  <c r="B37" i="1"/>
  <c r="C37" i="1"/>
  <c r="F27" i="8" l="1"/>
  <c r="F20" i="8"/>
  <c r="F13" i="8"/>
  <c r="D27" i="8"/>
  <c r="D13" i="8"/>
  <c r="F29" i="8" l="1"/>
  <c r="F34" i="8" s="1"/>
  <c r="E20" i="8"/>
  <c r="E27" i="8"/>
  <c r="G27" i="8"/>
  <c r="D29" i="8"/>
  <c r="D34" i="8" s="1"/>
  <c r="G13" i="8"/>
  <c r="G20" i="8"/>
  <c r="C33" i="3" l="1"/>
  <c r="B33" i="3"/>
  <c r="C32" i="3"/>
  <c r="B32" i="3"/>
  <c r="C28" i="3"/>
  <c r="B28" i="3"/>
  <c r="C27" i="3"/>
  <c r="B27" i="3"/>
  <c r="C26" i="3"/>
  <c r="B26" i="3"/>
  <c r="C24" i="3"/>
  <c r="B24" i="3"/>
  <c r="B27" i="8"/>
  <c r="B13" i="8"/>
  <c r="D20" i="5"/>
  <c r="C20" i="5"/>
  <c r="D19" i="5"/>
  <c r="C19" i="5"/>
  <c r="D12" i="5"/>
  <c r="D17" i="5" s="1"/>
  <c r="C12" i="5"/>
  <c r="C14" i="5" s="1"/>
  <c r="C47" i="4"/>
  <c r="C37" i="4"/>
  <c r="F57" i="2"/>
  <c r="F55" i="2"/>
  <c r="C51" i="2"/>
  <c r="B51" i="2"/>
  <c r="C35" i="2"/>
  <c r="C43" i="2" s="1"/>
  <c r="B35" i="2"/>
  <c r="B43" i="2" s="1"/>
  <c r="C27" i="2"/>
  <c r="B27" i="2"/>
  <c r="C20" i="2"/>
  <c r="B20" i="2"/>
  <c r="C29" i="1"/>
  <c r="C25" i="3" s="1"/>
  <c r="B29" i="1"/>
  <c r="B25" i="3" s="1"/>
  <c r="C22" i="1"/>
  <c r="C24" i="1" s="1"/>
  <c r="B22" i="1"/>
  <c r="B24" i="1" s="1"/>
  <c r="D21" i="5" l="1"/>
  <c r="C28" i="2"/>
  <c r="B31" i="1"/>
  <c r="B39" i="1" s="1"/>
  <c r="B42" i="1" s="1"/>
  <c r="C31" i="1"/>
  <c r="C39" i="1" s="1"/>
  <c r="C42" i="1" s="1"/>
  <c r="C21" i="5"/>
  <c r="D14" i="5"/>
  <c r="D22" i="5"/>
  <c r="B47" i="4"/>
  <c r="B37" i="4"/>
  <c r="B52" i="2"/>
  <c r="B28" i="2"/>
  <c r="C52" i="2"/>
  <c r="B29" i="8"/>
  <c r="B34" i="8" s="1"/>
  <c r="C17" i="5"/>
  <c r="C22" i="5" s="1"/>
  <c r="F10" i="4" l="1"/>
  <c r="F28" i="4" s="1"/>
  <c r="F49" i="4" s="1"/>
  <c r="F52" i="4" s="1"/>
  <c r="B45" i="1"/>
  <c r="B46" i="1"/>
  <c r="F59" i="2"/>
  <c r="B23" i="3"/>
  <c r="C46" i="1"/>
  <c r="C28" i="4"/>
  <c r="C23" i="3"/>
  <c r="C45" i="1"/>
  <c r="B28" i="4" l="1"/>
  <c r="B49" i="4" s="1"/>
  <c r="B52" i="4" s="1"/>
  <c r="C49" i="4"/>
  <c r="C52" i="4" s="1"/>
  <c r="B35" i="3"/>
  <c r="B54" i="1" s="1"/>
  <c r="C35" i="3"/>
  <c r="C54" i="1" s="1"/>
</calcChain>
</file>

<file path=xl/sharedStrings.xml><?xml version="1.0" encoding="utf-8"?>
<sst xmlns="http://schemas.openxmlformats.org/spreadsheetml/2006/main" count="332" uniqueCount="202">
  <si>
    <t>Arch Coal, Inc. and Subsidiaries</t>
  </si>
  <si>
    <t>(In thousands, except per share data)</t>
  </si>
  <si>
    <t>(Unaudited)</t>
  </si>
  <si>
    <t>Revenues</t>
  </si>
  <si>
    <t>Costs, expenses and other operating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</si>
  <si>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</si>
  <si>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</si>
  <si>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</si>
  <si>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</si>
  <si>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</si>
  <si>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</si>
  <si>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</si>
  <si>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</si>
  <si>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</si>
  <si>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</si>
  <si>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</si>
  <si>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</si>
  <si>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</si>
  <si>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</si>
  <si>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</si>
  <si>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</si>
  <si>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</si>
  <si>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</si>
  <si>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</si>
  <si>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</si>
  <si>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</si>
  <si>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</si>
  <si>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</si>
  <si>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</si>
  <si>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</si>
  <si>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</si>
  <si>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</si>
  <si>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</si>
  <si>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</si>
  <si>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</si>
  <si>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</si>
  <si>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</si>
  <si>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</si>
  <si>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</si>
  <si>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</si>
  <si>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</si>
  <si>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</si>
  <si>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</si>
  <si>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</si>
  <si>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</si>
  <si>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</si>
  <si>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</si>
  <si>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</si>
  <si>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</si>
  <si>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</si>
  <si>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</si>
  <si>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</si>
  <si>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</si>
  <si>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</si>
  <si>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</si>
  <si>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</si>
  <si>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</si>
  <si>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</si>
  <si>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</si>
  <si>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</si>
  <si>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Employee stock-based compensation expense</t>
  </si>
  <si>
    <t>Prepaid royalties expensed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</si>
  <si>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</si>
  <si>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</si>
  <si>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</si>
  <si>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</si>
  <si>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</si>
  <si>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</si>
  <si>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</si>
  <si>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</si>
  <si>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</si>
  <si>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</si>
  <si>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</si>
  <si>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</si>
  <si>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</si>
  <si>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</si>
  <si>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</si>
  <si>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</si>
  <si>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</si>
  <si>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>Basic weighted average shares outstanding</t>
  </si>
  <si>
    <t>Amortization of sales contracts, net</t>
  </si>
  <si>
    <t xml:space="preserve">considered in isolation, nor as an alternative to net income, income from operations, cash flows from operations or as a measure of our profitability, 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</si>
  <si>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</si>
  <si>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</si>
  <si>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</si>
  <si>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</si>
  <si>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</si>
  <si>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</si>
  <si>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</si>
  <si>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</si>
  <si>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</si>
  <si>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</si>
  <si>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 xml:space="preserve">Stockholders' equity </t>
  </si>
  <si>
    <t xml:space="preserve">Liabilities and Stockholders' Equity </t>
  </si>
  <si>
    <t>Income taxes, net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</si>
  <si>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</si>
  <si>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</si>
  <si>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</si>
  <si>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</si>
  <si>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Retained earnings</t>
  </si>
  <si>
    <t>Treasury stock, at cost</t>
  </si>
  <si>
    <t>Purchases of treasury stock</t>
  </si>
  <si>
    <t>Weighted average shares outstanding</t>
  </si>
  <si>
    <t>Dividends declared per common share</t>
  </si>
  <si>
    <t>Beg RE</t>
  </si>
  <si>
    <t>CY Net Income</t>
  </si>
  <si>
    <t xml:space="preserve">Dividends </t>
  </si>
  <si>
    <t>Dividends accrued (RSU's)</t>
  </si>
  <si>
    <t>indicative of the Company's core operating performance.</t>
  </si>
  <si>
    <t xml:space="preserve">Net income </t>
  </si>
  <si>
    <t>Net income per common share</t>
  </si>
  <si>
    <t xml:space="preserve">Basic EPS </t>
  </si>
  <si>
    <t xml:space="preserve">Diluted EPS </t>
  </si>
  <si>
    <t>Income before income taxes</t>
  </si>
  <si>
    <t>Reconciliation of NON-GAAP Measures</t>
  </si>
  <si>
    <t>Idle and Other</t>
  </si>
  <si>
    <t>Consolidated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</si>
  <si>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</si>
  <si>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</si>
  <si>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</si>
  <si>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</si>
  <si>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</si>
  <si>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</si>
  <si>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</si>
  <si>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</si>
  <si>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</si>
  <si>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</si>
  <si>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Other (operating overhead, certain actuarial, etc.)</t>
  </si>
  <si>
    <t>Non-GAAP Segment cash cost of coal sales</t>
  </si>
  <si>
    <t>Cash cost per ton sold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</si>
  <si>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</si>
  <si>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</si>
  <si>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</si>
  <si>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</si>
  <si>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</si>
  <si>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</si>
  <si>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>Restricted cash</t>
  </si>
  <si>
    <t>Income from operations</t>
  </si>
  <si>
    <t>Income before nonoperating expenses</t>
  </si>
  <si>
    <t>Cash provided by operating activities</t>
  </si>
  <si>
    <t>Payments on term loan due 2024</t>
  </si>
  <si>
    <t>Cash used in financing activities</t>
  </si>
  <si>
    <t>Condensed Consolidated Income Statements</t>
  </si>
  <si>
    <t>Non-service related pension and postretirement benefit costs</t>
  </si>
  <si>
    <t>Cash and cash equivalents, including restricted cash, end of period</t>
  </si>
  <si>
    <t>Adjusted EBITDA</t>
  </si>
  <si>
    <t xml:space="preserve">Adjusted EBITDA is defined as net income attributable to the Company before the effect of net interest expense, income taxes, depreciation, </t>
  </si>
  <si>
    <t>depletion and amortization, accretion on asset retirement obligations, amortization of sales contracts and nonoperating expenses.</t>
  </si>
  <si>
    <t>Adjusted EBITDA may also be adjusted for items that may not reflect the trend of future results by excluding transactions that are not</t>
  </si>
  <si>
    <t>Adjusted EBITDA is not a measure of financial performance in accordance with generally accepted accounting principles, and items excluded</t>
  </si>
  <si>
    <t xml:space="preserve">from Adjusted EBITDA are significant in understanding and assessing our financial condition. Therefore, Adjusted EBITDA should not be </t>
  </si>
  <si>
    <t xml:space="preserve">liquidity or performance under generally accepted accounting principles.  The Company uses adjusted EBITDA to measure the operating </t>
  </si>
  <si>
    <t>to evaluate our operating performance. Investors should be aware that our presentation of Adjusted EBITDA may not be comparable to similarly titled</t>
  </si>
  <si>
    <t>measures used by other companies. The table below shows how we calculate Adjusted EBITDA.</t>
  </si>
  <si>
    <t>Adjustments to reconcile to cash provided by operating activities:</t>
  </si>
  <si>
    <t>Proceeds from disposals and divestitures</t>
  </si>
  <si>
    <t xml:space="preserve">Three Months </t>
  </si>
  <si>
    <t>Ended June 30, 2018</t>
  </si>
  <si>
    <t xml:space="preserve">Six Months </t>
  </si>
  <si>
    <t>Ended September 30, 2018</t>
  </si>
  <si>
    <t>(A) Adjusted EBITDA is defined and reconciled under "Reconciliation of Non-GAAP Measures" later in this release.</t>
  </si>
  <si>
    <t>Short-term investments</t>
  </si>
  <si>
    <t xml:space="preserve">transportation costs, and may be adjusted for other items that, due to generally accepted accounting principles, are classified in “other income” on the consolidated </t>
  </si>
  <si>
    <t xml:space="preserve">generally accepted accounting principles. We believe segment coal sales per ton sold provides useful information to investors as it better reflects our revenue for the </t>
  </si>
  <si>
    <t xml:space="preserve">quality of coal sold and our operating results by including all income from coal sales. The adjustments made to arrive at these measures are significant in understanding </t>
  </si>
  <si>
    <t xml:space="preserve">and assessing our financial condition. Therefore, segment coal sales revenues should not be considered in isolation, nor as an alternative to coal sales revenues under </t>
  </si>
  <si>
    <t>generally accepted accounting principles.</t>
  </si>
  <si>
    <t>GAAP Revenues in the consolidated income statements</t>
  </si>
  <si>
    <t xml:space="preserve">GAAP Revenues in the consolidated income statements </t>
  </si>
  <si>
    <t xml:space="preserve">income statements, but relate to price protection on the sale of coal. Segment coal sales per ton sold is not a measure of financial performance in accordance with </t>
  </si>
  <si>
    <t xml:space="preserve">consolidated income statements, but relate directly to the costs incurred to produce coal. Segment cash cost per ton sold is not a measure of financial performance in </t>
  </si>
  <si>
    <t xml:space="preserve">accordance with generally accepted accounting principles. We believe segment cash cost per ton sold better reflects our controllable costs and our operating results by </t>
  </si>
  <si>
    <t xml:space="preserve">including all costs incurred to produce coal. The adjustments made to arrive at these measures are significant in understanding and assessing our financial condition. </t>
  </si>
  <si>
    <t>Therefore, segment cash cost of coal sales should not be considered in isolation, nor as an alternative to cost of sales under generally accepted accounting principles.</t>
  </si>
  <si>
    <t xml:space="preserve">GAAP Cost of sales in the consolidated income statements </t>
  </si>
  <si>
    <t>Three Months  Ended           March 31, 2019</t>
  </si>
  <si>
    <t>Quarter ended March 31, 2019</t>
  </si>
  <si>
    <t>(Gains) losses on disposals and divestitures</t>
  </si>
  <si>
    <t>Other operating income, net</t>
  </si>
  <si>
    <t>Provision for (benefit from) income taxes</t>
  </si>
  <si>
    <t>Nonoperating (expenses) income</t>
  </si>
  <si>
    <t>Three Months Ended June 30,</t>
  </si>
  <si>
    <t xml:space="preserve">Six Months Ended June 30, </t>
  </si>
  <si>
    <t>3/31/2019 YTD</t>
  </si>
  <si>
    <t xml:space="preserve">June 30, </t>
  </si>
  <si>
    <t>Six Months Ended June 30,</t>
  </si>
  <si>
    <t>June 30,</t>
  </si>
  <si>
    <t>Three Months  Ended           June 30, 2019</t>
  </si>
  <si>
    <t>Three Months  Ended           June 30, 2018</t>
  </si>
  <si>
    <t>Quarter ended June 30, 2019</t>
  </si>
  <si>
    <t>Quarter ended June 30, 2018</t>
  </si>
  <si>
    <t>Cash used in investing activities</t>
  </si>
  <si>
    <t>Costs related to proposed joint venture with Peabody Energy</t>
  </si>
  <si>
    <t>Non-service related pension and postretirement benefit (costs) credits</t>
  </si>
  <si>
    <t xml:space="preserve">Adjusted EBITDA (A) </t>
  </si>
  <si>
    <t>Decrease in cash and cash equivalents</t>
  </si>
  <si>
    <t>Cash and cash equivalents, beginning of period</t>
  </si>
  <si>
    <t>Cash and cash equivalents, end of period</t>
  </si>
  <si>
    <t>Term loan due 2024 ($293.3 million face value)</t>
  </si>
  <si>
    <t>Loss on sale of Lone Mountain Processing LLC</t>
  </si>
  <si>
    <t>Cost of sales (exclusive of items shown separately below)</t>
  </si>
  <si>
    <t>(In thousands, except per ton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</si>
</sst>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#,##0_)%;\(#,##0\)%;&quot;—&quot;\%;_(@_)"/>
    <numFmt numFmtId="169" formatCode="_(#,##0_)_%;_(\(#,##0\)_%;_(&quot;—&quot;_);_(@_)"/>
    <numFmt numFmtId="170" formatCode="_(* #,##0.0_);_(* \(#,##0.0\);_(* &quot;-&quot;??_);_(@_)"/>
    <numFmt numFmtId="171" formatCode="_(&quot;$&quot;* #,##0.0_);_(&quot;$&quot;* \(#,##0.0\);_(&quot;$&quot;* &quot;-&quot;??_);_(@_)"/>
    <numFmt numFmtId="172" formatCode="#,##0.00;\(#,##0.00\)"/>
  </numFmts>
  <fonts count="2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8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0" fontId="2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1" fillId="0" borderId="0"/>
    <xf numFmtId="0" fontId="1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61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 indent="1"/>
    </xf>
    <xf numFmtId="167" fontId="7" fillId="0" borderId="0" xfId="0" applyNumberFormat="1" applyFont="1" applyAlignment="1"/>
    <xf numFmtId="0" fontId="7" fillId="0" borderId="0" xfId="0" applyFont="1" applyAlignment="1">
      <alignment wrapText="1" indent="2"/>
    </xf>
    <xf numFmtId="0" fontId="7" fillId="0" borderId="0" xfId="0" applyFont="1" applyAlignment="1">
      <alignment wrapText="1"/>
    </xf>
    <xf numFmtId="167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wrapText="1" indent="3"/>
    </xf>
    <xf numFmtId="167" fontId="7" fillId="0" borderId="0" xfId="0" applyNumberFormat="1" applyFont="1" applyFill="1" applyBorder="1" applyAlignment="1"/>
    <xf numFmtId="167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0" fontId="0" fillId="0" borderId="0" xfId="0" applyFill="1" applyAlignment="1">
      <alignment wrapText="1"/>
    </xf>
    <xf numFmtId="165" fontId="14" fillId="0" borderId="5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wrapText="1" indent="1"/>
    </xf>
    <xf numFmtId="166" fontId="7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7" fillId="0" borderId="2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 indent="2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>
      <alignment wrapText="1" indent="2"/>
    </xf>
    <xf numFmtId="164" fontId="7" fillId="0" borderId="4" xfId="2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168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7" fillId="0" borderId="0" xfId="2" applyNumberFormat="1" applyFont="1" applyFill="1" applyAlignment="1"/>
    <xf numFmtId="166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/>
    <xf numFmtId="167" fontId="7" fillId="0" borderId="1" xfId="0" applyNumberFormat="1" applyFont="1" applyFill="1" applyBorder="1" applyAlignment="1"/>
    <xf numFmtId="166" fontId="7" fillId="0" borderId="1" xfId="1" applyNumberFormat="1" applyFont="1" applyFill="1" applyBorder="1" applyAlignment="1"/>
    <xf numFmtId="164" fontId="7" fillId="0" borderId="4" xfId="2" applyNumberFormat="1" applyFont="1" applyFill="1" applyBorder="1" applyAlignment="1"/>
    <xf numFmtId="166" fontId="7" fillId="0" borderId="2" xfId="1" applyNumberFormat="1" applyFont="1" applyFill="1" applyBorder="1" applyAlignment="1"/>
    <xf numFmtId="167" fontId="7" fillId="0" borderId="3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5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wrapText="1"/>
    </xf>
    <xf numFmtId="166" fontId="7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3" fontId="4" fillId="0" borderId="0" xfId="1" applyFont="1" applyAlignment="1">
      <alignment wrapText="1"/>
    </xf>
    <xf numFmtId="0" fontId="7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7" fillId="0" borderId="0" xfId="1" applyNumberFormat="1" applyFont="1" applyFill="1" applyBorder="1" applyAlignment="1"/>
    <xf numFmtId="166" fontId="0" fillId="0" borderId="0" xfId="1" applyNumberFormat="1" applyFont="1" applyAlignment="1">
      <alignment wrapText="1"/>
    </xf>
    <xf numFmtId="169" fontId="7" fillId="0" borderId="0" xfId="0" applyNumberFormat="1" applyFont="1" applyFill="1" applyAlignment="1"/>
    <xf numFmtId="16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0" fontId="7" fillId="0" borderId="0" xfId="0" applyFont="1" applyAlignment="1"/>
    <xf numFmtId="0" fontId="11" fillId="0" borderId="0" xfId="0" applyFont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7" fillId="0" borderId="0" xfId="1" applyNumberFormat="1" applyFont="1" applyFill="1" applyBorder="1" applyAlignment="1">
      <alignment horizontal="left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horizontal="left" wrapText="1" indent="2"/>
    </xf>
    <xf numFmtId="0" fontId="9" fillId="0" borderId="0" xfId="0" applyFont="1" applyBorder="1" applyAlignment="1">
      <alignment horizontal="center" wrapText="1"/>
    </xf>
    <xf numFmtId="164" fontId="7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/>
    </xf>
    <xf numFmtId="164" fontId="14" fillId="0" borderId="0" xfId="2" applyNumberFormat="1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 wrapText="1"/>
    </xf>
    <xf numFmtId="165" fontId="7" fillId="0" borderId="0" xfId="0" applyNumberFormat="1" applyFont="1" applyFill="1" applyBorder="1" applyAlignment="1"/>
    <xf numFmtId="166" fontId="7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7" fillId="0" borderId="0" xfId="24" applyNumberFormat="1" applyFont="1" applyFill="1" applyBorder="1" applyAlignment="1"/>
    <xf numFmtId="171" fontId="7" fillId="0" borderId="0" xfId="25" applyNumberFormat="1" applyFont="1" applyFill="1" applyBorder="1" applyAlignment="1"/>
    <xf numFmtId="170" fontId="7" fillId="0" borderId="1" xfId="24" applyNumberFormat="1" applyFont="1" applyFill="1" applyBorder="1" applyAlignment="1"/>
    <xf numFmtId="170" fontId="7" fillId="0" borderId="0" xfId="24" applyNumberFormat="1" applyFont="1" applyFill="1" applyBorder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7" fillId="0" borderId="4" xfId="2" applyFont="1" applyFill="1" applyBorder="1" applyAlignment="1">
      <alignment horizontal="right"/>
    </xf>
    <xf numFmtId="0" fontId="7" fillId="0" borderId="0" xfId="30" applyFont="1" applyAlignment="1">
      <alignment horizontal="left"/>
    </xf>
    <xf numFmtId="0" fontId="22" fillId="0" borderId="0" xfId="31"/>
    <xf numFmtId="0" fontId="9" fillId="0" borderId="3" xfId="30" applyFont="1" applyBorder="1" applyAlignment="1">
      <alignment horizontal="center" wrapText="1"/>
    </xf>
    <xf numFmtId="0" fontId="7" fillId="0" borderId="0" xfId="30" applyFont="1" applyAlignment="1">
      <alignment wrapText="1"/>
    </xf>
    <xf numFmtId="164" fontId="7" fillId="0" borderId="0" xfId="25" applyNumberFormat="1" applyFont="1" applyFill="1" applyBorder="1" applyAlignment="1"/>
    <xf numFmtId="0" fontId="7" fillId="0" borderId="0" xfId="30" applyFont="1" applyAlignment="1">
      <alignment wrapText="1" indent="2"/>
    </xf>
    <xf numFmtId="43" fontId="7" fillId="0" borderId="1" xfId="24" applyFont="1" applyFill="1" applyBorder="1" applyAlignment="1"/>
    <xf numFmtId="43" fontId="7" fillId="0" borderId="0" xfId="24" applyFont="1" applyFill="1" applyBorder="1" applyAlignment="1"/>
    <xf numFmtId="171" fontId="7" fillId="0" borderId="4" xfId="25" applyNumberFormat="1" applyFont="1" applyFill="1" applyBorder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30" applyFont="1" applyAlignment="1"/>
    <xf numFmtId="44" fontId="7" fillId="0" borderId="0" xfId="30" applyNumberFormat="1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4" fontId="7" fillId="0" borderId="4" xfId="2" applyNumberFormat="1" applyFont="1" applyFill="1" applyBorder="1" applyAlignment="1">
      <alignment horizontal="right"/>
    </xf>
    <xf numFmtId="166" fontId="7" fillId="0" borderId="4" xfId="1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/>
    <xf numFmtId="0" fontId="0" fillId="0" borderId="0" xfId="0" applyAlignment="1">
      <alignment wrapText="1"/>
    </xf>
    <xf numFmtId="167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/>
    <xf numFmtId="44" fontId="7" fillId="0" borderId="0" xfId="25" applyFont="1" applyFill="1" applyBorder="1" applyAlignment="1"/>
    <xf numFmtId="0" fontId="4" fillId="0" borderId="0" xfId="30" applyBorder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30" applyFont="1" applyAlignment="1">
      <alignment horizontal="left"/>
    </xf>
    <xf numFmtId="0" fontId="7" fillId="0" borderId="0" xfId="0" applyFont="1" applyAlignment="1">
      <alignment wrapText="1"/>
    </xf>
    <xf numFmtId="0" fontId="8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6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164" fontId="7" fillId="0" borderId="0" xfId="2" applyNumberFormat="1" applyFont="1" applyBorder="1"/>
    <xf numFmtId="0" fontId="7" fillId="0" borderId="0" xfId="0" applyFont="1" applyAlignment="1">
      <alignment horizontal="left" wrapText="1" indent="1"/>
    </xf>
    <xf numFmtId="0" fontId="17" fillId="0" borderId="0" xfId="31" applyFont="1"/>
    <xf numFmtId="164" fontId="7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7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7" fillId="0" borderId="0" xfId="3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166" fontId="7" fillId="0" borderId="1" xfId="1" applyNumberFormat="1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6" fontId="7" fillId="0" borderId="0" xfId="1" applyNumberFormat="1" applyFont="1" applyFill="1" applyBorder="1"/>
    <xf numFmtId="166" fontId="7" fillId="0" borderId="0" xfId="1" applyNumberFormat="1" applyFont="1" applyFill="1"/>
    <xf numFmtId="164" fontId="7" fillId="0" borderId="2" xfId="2" applyNumberFormat="1" applyFont="1" applyFill="1" applyBorder="1"/>
    <xf numFmtId="44" fontId="7" fillId="0" borderId="0" xfId="2" applyFont="1" applyFill="1" applyBorder="1"/>
    <xf numFmtId="164" fontId="7" fillId="0" borderId="5" xfId="2" applyNumberFormat="1" applyFont="1" applyFill="1" applyBorder="1"/>
    <xf numFmtId="0" fontId="24" fillId="0" borderId="6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wrapText="1" indent="1"/>
    </xf>
    <xf numFmtId="0" fontId="8" fillId="0" borderId="1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1" applyNumberFormat="1" applyFont="1" applyFill="1" applyBorder="1"/>
    <xf numFmtId="166" fontId="7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170" fontId="7" fillId="0" borderId="0" xfId="1" applyNumberFormat="1" applyFont="1" applyFill="1" applyBorder="1" applyAlignment="1"/>
    <xf numFmtId="0" fontId="9" fillId="0" borderId="0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4" fontId="7" fillId="0" borderId="0" xfId="2" applyNumberFormat="1" applyFont="1" applyFill="1" applyBorder="1" applyAlignment="1">
      <alignment horizontal="right"/>
    </xf>
    <xf numFmtId="44" fontId="7" fillId="0" borderId="0" xfId="2" applyFont="1" applyFill="1" applyBorder="1" applyAlignment="1">
      <alignment horizontal="right"/>
    </xf>
    <xf numFmtId="166" fontId="7" fillId="0" borderId="0" xfId="1" applyNumberFormat="1" applyFont="1"/>
    <xf numFmtId="43" fontId="7" fillId="0" borderId="0" xfId="1" applyFont="1" applyFill="1" applyBorder="1" applyAlignment="1"/>
    <xf numFmtId="170" fontId="7" fillId="0" borderId="0" xfId="1" applyNumberFormat="1" applyFont="1" applyFill="1" applyBorder="1"/>
    <xf numFmtId="0" fontId="0" fillId="0" borderId="0" xfId="0" applyAlignment="1">
      <alignment wrapText="1"/>
    </xf>
    <xf numFmtId="166" fontId="14" fillId="0" borderId="0" xfId="1" applyNumberFormat="1" applyFont="1" applyFill="1" applyAlignment="1"/>
    <xf numFmtId="0" fontId="5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5" fillId="0" borderId="0" xfId="30" applyFont="1" applyAlignment="1">
      <alignment horizontal="center" wrapText="1"/>
    </xf>
    <xf numFmtId="0" fontId="7" fillId="0" borderId="0" xfId="30" applyFont="1" applyAlignment="1">
      <alignment horizontal="left"/>
    </xf>
    <xf numFmtId="0" fontId="8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4" fillId="0" borderId="0" xfId="30" applyAlignment="1">
      <alignment horizontal="left"/>
    </xf>
    <xf numFmtId="0" fontId="5" fillId="0" borderId="0" xfId="3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</cellXfs>
  <cellStyles count="45">
    <cellStyle name="Comma" xfId="1" builtinId="3"/>
    <cellStyle name="Comma 2" xfId="4"/>
    <cellStyle name="Comma 3" xfId="5"/>
    <cellStyle name="Comma 3 2" xfId="28"/>
    <cellStyle name="Comma 3 2 2" xfId="42"/>
    <cellStyle name="Comma 3 3" xfId="20"/>
    <cellStyle name="Comma 3 3 2" xfId="38"/>
    <cellStyle name="Comma 3 4" xfId="32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2 2" xfId="43"/>
    <cellStyle name="Currency 3 3" xfId="21"/>
    <cellStyle name="Currency 3 3 2" xfId="39"/>
    <cellStyle name="Currency 3 4" xfId="33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2 4 2" xfId="40"/>
    <cellStyle name="Normal 3" xfId="11"/>
    <cellStyle name="Normal 3 2" xfId="27"/>
    <cellStyle name="Normal 3 2 2" xfId="41"/>
    <cellStyle name="Normal 3 3" xfId="19"/>
    <cellStyle name="Normal 3 3 2" xfId="37"/>
    <cellStyle name="Normal 3 4" xfId="34"/>
    <cellStyle name="Normal 4" xfId="12"/>
    <cellStyle name="Normal 5" xfId="23"/>
    <cellStyle name="Normal 5 2" xfId="30"/>
    <cellStyle name="Normal 6" xfId="15"/>
    <cellStyle name="Normal 6 2" xfId="36"/>
    <cellStyle name="Normal 7" xfId="14"/>
    <cellStyle name="Normal 7 2" xfId="35"/>
    <cellStyle name="Normal 8" xfId="31"/>
    <cellStyle name="Normal 8 2" xfId="44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4"/>
  <sheetViews>
    <sheetView tabSelected="1" workbookViewId="0">
      <selection activeCell="A20" sqref="A20"/>
    </sheetView>
  </sheetViews>
  <sheetFormatPr defaultColWidth="21.5" defaultRowHeight="13.5" customHeight="1" x14ac:dyDescent="0.2"/>
  <cols>
    <col min="1" max="1" width="74" style="1" bestFit="1" customWidth="1"/>
    <col min="2" max="2" width="17.83203125" style="1" customWidth="1"/>
    <col min="3" max="3" width="17.83203125" style="156" customWidth="1"/>
    <col min="4" max="4" width="1" style="1" customWidth="1"/>
    <col min="5" max="6" width="17.83203125" style="1" customWidth="1"/>
    <col min="7" max="7" width="21.5" style="1" customWidth="1"/>
    <col min="8" max="9" width="21.5" style="1" hidden="1" customWidth="1"/>
    <col min="10" max="16384" width="21.5" style="1"/>
  </cols>
  <sheetData>
    <row r="1" spans="1:11" ht="13.5" customHeight="1" x14ac:dyDescent="0.25">
      <c r="A1" s="243" t="s">
        <v>0</v>
      </c>
      <c r="B1" s="243"/>
      <c r="C1" s="243"/>
      <c r="D1" s="243"/>
      <c r="E1" s="243"/>
      <c r="F1" s="243"/>
    </row>
    <row r="2" spans="1:11" ht="13.5" customHeight="1" x14ac:dyDescent="0.25">
      <c r="A2" s="243" t="s">
        <v>142</v>
      </c>
      <c r="B2" s="243"/>
      <c r="C2" s="243"/>
      <c r="D2" s="243"/>
      <c r="E2" s="243"/>
      <c r="F2" s="243"/>
    </row>
    <row r="3" spans="1:11" ht="13.5" customHeight="1" x14ac:dyDescent="0.25">
      <c r="A3" s="243" t="s">
        <v>1</v>
      </c>
      <c r="B3" s="243"/>
      <c r="C3" s="243"/>
      <c r="D3" s="243"/>
      <c r="E3" s="243"/>
      <c r="F3" s="243"/>
    </row>
    <row r="4" spans="1:11" ht="13.5" customHeight="1" x14ac:dyDescent="0.2">
      <c r="A4" s="13"/>
      <c r="B4" s="13"/>
      <c r="C4" s="241"/>
      <c r="D4" s="241"/>
      <c r="E4" s="241"/>
      <c r="F4" s="241"/>
    </row>
    <row r="5" spans="1:11" s="93" customFormat="1" ht="13.5" customHeight="1" x14ac:dyDescent="0.2">
      <c r="A5" s="13"/>
      <c r="B5" s="13"/>
      <c r="C5" s="156"/>
    </row>
    <row r="6" spans="1:11" ht="13.5" customHeight="1" x14ac:dyDescent="0.2">
      <c r="A6" s="3"/>
      <c r="B6" s="245" t="s">
        <v>181</v>
      </c>
      <c r="C6" s="245"/>
      <c r="E6" s="245" t="s">
        <v>182</v>
      </c>
      <c r="F6" s="245"/>
      <c r="H6" s="226" t="s">
        <v>183</v>
      </c>
    </row>
    <row r="7" spans="1:11" ht="12.75" x14ac:dyDescent="0.2">
      <c r="A7" s="3"/>
      <c r="B7" s="108">
        <v>2019</v>
      </c>
      <c r="C7" s="159">
        <v>2018</v>
      </c>
      <c r="E7" s="216">
        <v>2019</v>
      </c>
      <c r="F7" s="159">
        <v>2018</v>
      </c>
    </row>
    <row r="8" spans="1:11" ht="13.5" customHeight="1" x14ac:dyDescent="0.2">
      <c r="A8" s="3"/>
      <c r="B8" s="246" t="s">
        <v>2</v>
      </c>
      <c r="C8" s="246"/>
      <c r="D8" s="230"/>
      <c r="E8" s="246" t="s">
        <v>2</v>
      </c>
      <c r="F8" s="246"/>
    </row>
    <row r="9" spans="1:11" ht="13.5" customHeight="1" x14ac:dyDescent="0.2">
      <c r="A9" s="3"/>
      <c r="B9" s="16"/>
      <c r="C9" s="16"/>
      <c r="E9" s="16"/>
      <c r="F9" s="16"/>
    </row>
    <row r="10" spans="1:11" ht="13.5" customHeight="1" x14ac:dyDescent="0.2">
      <c r="A10" s="41" t="s">
        <v>3</v>
      </c>
      <c r="B10" s="151">
        <v>570222</v>
      </c>
      <c r="C10" s="151">
        <v>592349</v>
      </c>
      <c r="E10" s="151">
        <v>1125405</v>
      </c>
      <c r="F10" s="151">
        <v>1167644</v>
      </c>
      <c r="H10" s="151">
        <v>555183</v>
      </c>
      <c r="I10" s="227">
        <f>E10-H10</f>
        <v>570222</v>
      </c>
      <c r="J10" s="227"/>
      <c r="K10" s="227"/>
    </row>
    <row r="11" spans="1:11" ht="13.5" customHeight="1" x14ac:dyDescent="0.2">
      <c r="A11" s="17"/>
      <c r="B11" s="152"/>
      <c r="C11" s="152"/>
      <c r="E11" s="152"/>
      <c r="F11" s="152"/>
      <c r="H11" s="152"/>
      <c r="I11" s="227"/>
    </row>
    <row r="12" spans="1:11" ht="13.5" customHeight="1" x14ac:dyDescent="0.2">
      <c r="A12" s="41" t="s">
        <v>4</v>
      </c>
      <c r="B12" s="152"/>
      <c r="C12" s="152"/>
      <c r="E12" s="152"/>
      <c r="F12" s="152"/>
      <c r="H12" s="152"/>
      <c r="I12" s="227"/>
    </row>
    <row r="13" spans="1:11" ht="13.5" customHeight="1" x14ac:dyDescent="0.2">
      <c r="A13" s="42" t="s">
        <v>200</v>
      </c>
      <c r="B13" s="49">
        <v>451088</v>
      </c>
      <c r="C13" s="49">
        <v>474388</v>
      </c>
      <c r="D13" s="32"/>
      <c r="E13" s="49">
        <f>899833-10274</f>
        <v>889559</v>
      </c>
      <c r="F13" s="49">
        <v>929168</v>
      </c>
      <c r="H13" s="49">
        <v>438471</v>
      </c>
      <c r="I13" s="49">
        <f t="shared" ref="I13:I42" si="0">E13-H13</f>
        <v>451088</v>
      </c>
    </row>
    <row r="14" spans="1:11" ht="13.5" customHeight="1" x14ac:dyDescent="0.2">
      <c r="A14" s="42" t="s">
        <v>5</v>
      </c>
      <c r="B14" s="49">
        <v>26524</v>
      </c>
      <c r="C14" s="49">
        <v>30549</v>
      </c>
      <c r="E14" s="49">
        <v>51797</v>
      </c>
      <c r="F14" s="49">
        <v>60252</v>
      </c>
      <c r="H14" s="49">
        <v>25273</v>
      </c>
      <c r="I14" s="49">
        <f t="shared" si="0"/>
        <v>26524</v>
      </c>
    </row>
    <row r="15" spans="1:11" s="93" customFormat="1" ht="13.5" customHeight="1" x14ac:dyDescent="0.2">
      <c r="A15" s="42" t="s">
        <v>78</v>
      </c>
      <c r="B15" s="49">
        <v>5137</v>
      </c>
      <c r="C15" s="49">
        <v>6993</v>
      </c>
      <c r="E15" s="49">
        <v>10274</v>
      </c>
      <c r="F15" s="49">
        <v>13985</v>
      </c>
      <c r="H15" s="49">
        <v>5137</v>
      </c>
      <c r="I15" s="49">
        <f t="shared" si="0"/>
        <v>5137</v>
      </c>
    </row>
    <row r="16" spans="1:11" ht="13.5" customHeight="1" x14ac:dyDescent="0.2">
      <c r="A16" s="42" t="s">
        <v>80</v>
      </c>
      <c r="B16" s="49">
        <v>11</v>
      </c>
      <c r="C16" s="49">
        <v>3248</v>
      </c>
      <c r="E16" s="49">
        <v>76</v>
      </c>
      <c r="F16" s="49">
        <v>6299</v>
      </c>
      <c r="H16" s="49">
        <v>65</v>
      </c>
      <c r="I16" s="49">
        <f t="shared" si="0"/>
        <v>11</v>
      </c>
    </row>
    <row r="17" spans="1:9" ht="13.5" customHeight="1" x14ac:dyDescent="0.2">
      <c r="A17" s="42" t="s">
        <v>6</v>
      </c>
      <c r="B17" s="49">
        <v>-8400</v>
      </c>
      <c r="C17" s="49">
        <v>15138</v>
      </c>
      <c r="E17" s="49">
        <v>-21381</v>
      </c>
      <c r="F17" s="49">
        <v>11724</v>
      </c>
      <c r="H17" s="49">
        <v>-12981</v>
      </c>
      <c r="I17" s="49">
        <f t="shared" si="0"/>
        <v>-8400</v>
      </c>
    </row>
    <row r="18" spans="1:9" ht="13.5" customHeight="1" x14ac:dyDescent="0.2">
      <c r="A18" s="42" t="s">
        <v>7</v>
      </c>
      <c r="B18" s="49">
        <v>25209</v>
      </c>
      <c r="C18" s="49">
        <v>24756</v>
      </c>
      <c r="E18" s="49">
        <f>49298</f>
        <v>49298</v>
      </c>
      <c r="F18" s="49">
        <v>50704</v>
      </c>
      <c r="H18" s="49">
        <v>24089</v>
      </c>
      <c r="I18" s="49">
        <f t="shared" si="0"/>
        <v>25209</v>
      </c>
    </row>
    <row r="19" spans="1:9" s="235" customFormat="1" ht="13.5" customHeight="1" x14ac:dyDescent="0.2">
      <c r="A19" s="42" t="s">
        <v>192</v>
      </c>
      <c r="B19" s="49">
        <v>3018</v>
      </c>
      <c r="C19" s="49">
        <v>0</v>
      </c>
      <c r="E19" s="49">
        <v>3018</v>
      </c>
      <c r="F19" s="49">
        <v>0</v>
      </c>
      <c r="H19" s="49">
        <v>0</v>
      </c>
      <c r="I19" s="49">
        <f t="shared" si="0"/>
        <v>3018</v>
      </c>
    </row>
    <row r="20" spans="1:9" s="235" customFormat="1" ht="13.5" customHeight="1" x14ac:dyDescent="0.2">
      <c r="A20" s="42" t="s">
        <v>199</v>
      </c>
      <c r="B20" s="49">
        <v>4304</v>
      </c>
      <c r="C20" s="49">
        <v>0</v>
      </c>
      <c r="E20" s="49">
        <v>4304</v>
      </c>
      <c r="F20" s="49">
        <v>0</v>
      </c>
      <c r="H20" s="49">
        <v>0</v>
      </c>
      <c r="I20" s="49">
        <f t="shared" si="0"/>
        <v>4304</v>
      </c>
    </row>
    <row r="21" spans="1:9" ht="13.5" customHeight="1" x14ac:dyDescent="0.2">
      <c r="A21" s="42" t="s">
        <v>178</v>
      </c>
      <c r="B21" s="43">
        <v>-3239</v>
      </c>
      <c r="C21" s="43">
        <v>-7318</v>
      </c>
      <c r="E21" s="43">
        <f>8992-11271-2610</f>
        <v>-4889</v>
      </c>
      <c r="F21" s="43">
        <v>-14250</v>
      </c>
      <c r="H21" s="43">
        <v>-1650</v>
      </c>
      <c r="I21" s="43">
        <f t="shared" si="0"/>
        <v>-3239</v>
      </c>
    </row>
    <row r="22" spans="1:9" ht="13.5" customHeight="1" x14ac:dyDescent="0.2">
      <c r="A22" s="44"/>
      <c r="B22" s="43">
        <f>SUM(B13:B21)</f>
        <v>503652</v>
      </c>
      <c r="C22" s="43">
        <f>SUM(C13:C21)</f>
        <v>547754</v>
      </c>
      <c r="D22" s="32"/>
      <c r="E22" s="43">
        <f>SUM(E13:E21)</f>
        <v>982056</v>
      </c>
      <c r="F22" s="43">
        <f>SUM(F13:F21)</f>
        <v>1057882</v>
      </c>
      <c r="H22" s="43">
        <f>SUM(H13:H21)</f>
        <v>478404</v>
      </c>
      <c r="I22" s="43">
        <f t="shared" si="0"/>
        <v>503652</v>
      </c>
    </row>
    <row r="23" spans="1:9" ht="13.5" customHeight="1" x14ac:dyDescent="0.2">
      <c r="A23" s="17"/>
      <c r="B23" s="49"/>
      <c r="C23" s="49"/>
      <c r="E23" s="49"/>
      <c r="F23" s="49"/>
      <c r="H23" s="49"/>
      <c r="I23" s="49">
        <f t="shared" si="0"/>
        <v>0</v>
      </c>
    </row>
    <row r="24" spans="1:9" ht="13.5" customHeight="1" x14ac:dyDescent="0.2">
      <c r="A24" s="46" t="s">
        <v>137</v>
      </c>
      <c r="B24" s="49">
        <f>+B10-B22</f>
        <v>66570</v>
      </c>
      <c r="C24" s="49">
        <f>+C10-C22</f>
        <v>44595</v>
      </c>
      <c r="D24" s="32"/>
      <c r="E24" s="49">
        <f>+E10-E22</f>
        <v>143349</v>
      </c>
      <c r="F24" s="49">
        <f>+F10-F22</f>
        <v>109762</v>
      </c>
      <c r="H24" s="49">
        <f>H10-H22</f>
        <v>76779</v>
      </c>
      <c r="I24" s="49">
        <f t="shared" si="0"/>
        <v>66570</v>
      </c>
    </row>
    <row r="25" spans="1:9" ht="13.5" customHeight="1" x14ac:dyDescent="0.2">
      <c r="A25" s="17"/>
      <c r="B25" s="49"/>
      <c r="C25" s="49"/>
      <c r="E25" s="49"/>
      <c r="F25" s="49"/>
      <c r="H25" s="49"/>
      <c r="I25" s="49">
        <f t="shared" si="0"/>
        <v>0</v>
      </c>
    </row>
    <row r="26" spans="1:9" ht="13.5" customHeight="1" x14ac:dyDescent="0.2">
      <c r="A26" s="41" t="s">
        <v>8</v>
      </c>
      <c r="B26" s="49"/>
      <c r="C26" s="49"/>
      <c r="E26" s="49"/>
      <c r="F26" s="49"/>
      <c r="H26" s="49"/>
      <c r="I26" s="49">
        <f t="shared" si="0"/>
        <v>0</v>
      </c>
    </row>
    <row r="27" spans="1:9" ht="13.5" customHeight="1" x14ac:dyDescent="0.2">
      <c r="A27" s="42" t="s">
        <v>9</v>
      </c>
      <c r="B27" s="49">
        <v>-4375</v>
      </c>
      <c r="C27" s="49">
        <v>-5050</v>
      </c>
      <c r="E27" s="49">
        <v>-8807</v>
      </c>
      <c r="F27" s="49">
        <v>-10445</v>
      </c>
      <c r="H27" s="49">
        <v>-4432</v>
      </c>
      <c r="I27" s="49">
        <f t="shared" si="0"/>
        <v>-4375</v>
      </c>
    </row>
    <row r="28" spans="1:9" ht="13.5" customHeight="1" x14ac:dyDescent="0.2">
      <c r="A28" s="42" t="s">
        <v>10</v>
      </c>
      <c r="B28" s="49">
        <v>2088</v>
      </c>
      <c r="C28" s="49">
        <v>1552</v>
      </c>
      <c r="E28" s="49">
        <v>4231</v>
      </c>
      <c r="F28" s="49">
        <v>2825</v>
      </c>
      <c r="H28" s="49">
        <v>2143</v>
      </c>
      <c r="I28" s="49">
        <f t="shared" si="0"/>
        <v>2088</v>
      </c>
    </row>
    <row r="29" spans="1:9" ht="13.5" customHeight="1" x14ac:dyDescent="0.2">
      <c r="A29" s="17"/>
      <c r="B29" s="45">
        <f>SUM(B27:B28)</f>
        <v>-2287</v>
      </c>
      <c r="C29" s="45">
        <f>SUM(C27:C28)</f>
        <v>-3498</v>
      </c>
      <c r="E29" s="45">
        <f>SUM(E27:E28)</f>
        <v>-4576</v>
      </c>
      <c r="F29" s="45">
        <f>SUM(F27:F28)</f>
        <v>-7620</v>
      </c>
      <c r="H29" s="45">
        <f>SUM(H27:H28)</f>
        <v>-2289</v>
      </c>
      <c r="I29" s="45">
        <f t="shared" si="0"/>
        <v>-2287</v>
      </c>
    </row>
    <row r="30" spans="1:9" ht="13.5" customHeight="1" x14ac:dyDescent="0.2">
      <c r="A30" s="17"/>
      <c r="B30" s="49"/>
      <c r="C30" s="49"/>
      <c r="E30" s="49"/>
      <c r="F30" s="49"/>
      <c r="H30" s="49"/>
      <c r="I30" s="49">
        <f t="shared" si="0"/>
        <v>0</v>
      </c>
    </row>
    <row r="31" spans="1:9" s="93" customFormat="1" ht="13.5" customHeight="1" x14ac:dyDescent="0.2">
      <c r="A31" s="91" t="s">
        <v>138</v>
      </c>
      <c r="B31" s="49">
        <f>B24+B29</f>
        <v>64283</v>
      </c>
      <c r="C31" s="49">
        <f>C24+C29</f>
        <v>41097</v>
      </c>
      <c r="D31" s="32"/>
      <c r="E31" s="49">
        <f>E24+E29</f>
        <v>138773</v>
      </c>
      <c r="F31" s="49">
        <f>F24+F29</f>
        <v>102142</v>
      </c>
      <c r="H31" s="49">
        <f>H24+H29</f>
        <v>74490</v>
      </c>
      <c r="I31" s="49">
        <f t="shared" si="0"/>
        <v>64283</v>
      </c>
    </row>
    <row r="32" spans="1:9" s="93" customFormat="1" ht="13.5" customHeight="1" x14ac:dyDescent="0.2">
      <c r="A32" s="91"/>
      <c r="B32" s="49"/>
      <c r="C32" s="49"/>
      <c r="E32" s="49"/>
      <c r="F32" s="49"/>
      <c r="H32" s="49"/>
      <c r="I32" s="49">
        <f t="shared" si="0"/>
        <v>0</v>
      </c>
    </row>
    <row r="33" spans="1:11" s="38" customFormat="1" ht="13.5" customHeight="1" x14ac:dyDescent="0.2">
      <c r="A33" s="47" t="s">
        <v>180</v>
      </c>
      <c r="B33" s="49"/>
      <c r="C33" s="49"/>
      <c r="E33" s="49"/>
      <c r="F33" s="49"/>
      <c r="H33" s="49"/>
      <c r="I33" s="49">
        <f t="shared" si="0"/>
        <v>0</v>
      </c>
    </row>
    <row r="34" spans="1:11" s="196" customFormat="1" ht="13.5" customHeight="1" x14ac:dyDescent="0.2">
      <c r="A34" s="42" t="s">
        <v>193</v>
      </c>
      <c r="B34" s="49">
        <v>-1336</v>
      </c>
      <c r="C34" s="49">
        <v>68</v>
      </c>
      <c r="E34" s="49">
        <v>-3102</v>
      </c>
      <c r="F34" s="49">
        <v>-1235</v>
      </c>
      <c r="G34" s="32"/>
      <c r="H34" s="49">
        <v>-1766</v>
      </c>
      <c r="I34" s="49">
        <f t="shared" si="0"/>
        <v>-1336</v>
      </c>
      <c r="K34" s="32"/>
    </row>
    <row r="35" spans="1:11" s="38" customFormat="1" ht="13.5" customHeight="1" x14ac:dyDescent="0.2">
      <c r="A35" s="42" t="s">
        <v>71</v>
      </c>
      <c r="B35" s="49">
        <v>0</v>
      </c>
      <c r="C35" s="49">
        <v>-485</v>
      </c>
      <c r="E35" s="49">
        <v>0</v>
      </c>
      <c r="F35" s="49">
        <v>-485</v>
      </c>
      <c r="H35" s="49">
        <v>0</v>
      </c>
      <c r="I35" s="49">
        <f t="shared" si="0"/>
        <v>0</v>
      </c>
    </row>
    <row r="36" spans="1:11" s="75" customFormat="1" ht="13.5" customHeight="1" x14ac:dyDescent="0.2">
      <c r="A36" s="42" t="s">
        <v>72</v>
      </c>
      <c r="B36" s="43">
        <v>-16</v>
      </c>
      <c r="C36" s="43">
        <v>-740</v>
      </c>
      <c r="E36" s="43">
        <v>71</v>
      </c>
      <c r="F36" s="43">
        <v>-1041</v>
      </c>
      <c r="H36" s="43">
        <v>87</v>
      </c>
      <c r="I36" s="43">
        <f t="shared" si="0"/>
        <v>-16</v>
      </c>
    </row>
    <row r="37" spans="1:11" s="67" customFormat="1" ht="13.5" customHeight="1" x14ac:dyDescent="0.2">
      <c r="A37" s="42"/>
      <c r="B37" s="45">
        <f>SUM(B34:B36)</f>
        <v>-1352</v>
      </c>
      <c r="C37" s="45">
        <f>SUM(C34:C36)</f>
        <v>-1157</v>
      </c>
      <c r="E37" s="45">
        <f>SUM(E34:E36)</f>
        <v>-3031</v>
      </c>
      <c r="F37" s="45">
        <f>SUM(F34:F36)</f>
        <v>-2761</v>
      </c>
      <c r="H37" s="45">
        <f>SUM(H34:H36)</f>
        <v>-1679</v>
      </c>
      <c r="I37" s="45">
        <f t="shared" si="0"/>
        <v>-1352</v>
      </c>
    </row>
    <row r="38" spans="1:11" s="38" customFormat="1" ht="13.5" customHeight="1" x14ac:dyDescent="0.2">
      <c r="A38" s="17"/>
      <c r="B38" s="49"/>
      <c r="C38" s="49"/>
      <c r="E38" s="49"/>
      <c r="F38" s="49"/>
      <c r="H38" s="49"/>
      <c r="I38" s="49">
        <f t="shared" si="0"/>
        <v>0</v>
      </c>
    </row>
    <row r="39" spans="1:11" ht="13.5" customHeight="1" x14ac:dyDescent="0.2">
      <c r="A39" s="48" t="s">
        <v>113</v>
      </c>
      <c r="B39" s="49">
        <f>B31+B37</f>
        <v>62931</v>
      </c>
      <c r="C39" s="49">
        <f>C31+C37</f>
        <v>39940</v>
      </c>
      <c r="D39" s="32"/>
      <c r="E39" s="49">
        <f>E31+E37</f>
        <v>135742</v>
      </c>
      <c r="F39" s="49">
        <f>F31+F37</f>
        <v>99381</v>
      </c>
      <c r="H39" s="49">
        <f>H31+H37</f>
        <v>72811</v>
      </c>
      <c r="I39" s="49">
        <f t="shared" si="0"/>
        <v>62931</v>
      </c>
    </row>
    <row r="40" spans="1:11" ht="13.5" customHeight="1" x14ac:dyDescent="0.2">
      <c r="A40" s="48" t="s">
        <v>179</v>
      </c>
      <c r="B40" s="43">
        <v>91</v>
      </c>
      <c r="C40" s="43">
        <v>-3366</v>
      </c>
      <c r="E40" s="43">
        <v>161</v>
      </c>
      <c r="F40" s="43">
        <v>-3910</v>
      </c>
      <c r="H40" s="43">
        <v>70</v>
      </c>
      <c r="I40" s="43">
        <f t="shared" si="0"/>
        <v>91</v>
      </c>
    </row>
    <row r="41" spans="1:11" s="21" customFormat="1" ht="13.5" customHeight="1" x14ac:dyDescent="0.2">
      <c r="A41" s="48"/>
      <c r="B41" s="49"/>
      <c r="C41" s="49"/>
      <c r="E41" s="49"/>
      <c r="F41" s="49"/>
      <c r="H41" s="49"/>
      <c r="I41" s="49">
        <f t="shared" si="0"/>
        <v>0</v>
      </c>
    </row>
    <row r="42" spans="1:11" ht="13.5" customHeight="1" thickBot="1" x14ac:dyDescent="0.25">
      <c r="A42" s="50" t="s">
        <v>109</v>
      </c>
      <c r="B42" s="51">
        <f>B39-B40</f>
        <v>62840</v>
      </c>
      <c r="C42" s="51">
        <f>C39-C40</f>
        <v>43306</v>
      </c>
      <c r="D42" s="32"/>
      <c r="E42" s="51">
        <f>E39-E40</f>
        <v>135581</v>
      </c>
      <c r="F42" s="51">
        <f>F39-F40</f>
        <v>103291</v>
      </c>
      <c r="H42" s="51">
        <f>H39+H40</f>
        <v>72881</v>
      </c>
      <c r="I42" s="51">
        <f t="shared" si="0"/>
        <v>62700</v>
      </c>
    </row>
    <row r="43" spans="1:11" ht="13.5" customHeight="1" thickTop="1" x14ac:dyDescent="0.2">
      <c r="A43" s="47"/>
      <c r="B43" s="231"/>
      <c r="C43" s="231"/>
      <c r="H43" s="224"/>
      <c r="I43" s="225"/>
    </row>
    <row r="44" spans="1:11" ht="13.5" customHeight="1" x14ac:dyDescent="0.2">
      <c r="A44" s="41" t="s">
        <v>110</v>
      </c>
      <c r="B44" s="231"/>
      <c r="C44" s="231"/>
      <c r="H44" s="224"/>
      <c r="I44" s="225"/>
    </row>
    <row r="45" spans="1:11" ht="13.5" customHeight="1" thickBot="1" x14ac:dyDescent="0.25">
      <c r="A45" s="68" t="s">
        <v>111</v>
      </c>
      <c r="B45" s="153">
        <f>ROUND(B42/B49,2)</f>
        <v>3.8</v>
      </c>
      <c r="C45" s="153">
        <f>ROUND(C42/C49,2)</f>
        <v>2.15</v>
      </c>
      <c r="E45" s="153">
        <f>ROUND(E42/E49,2)</f>
        <v>7.97</v>
      </c>
      <c r="F45" s="153">
        <f>ROUND(F42/F49,2)</f>
        <v>5.03</v>
      </c>
      <c r="H45" s="236"/>
      <c r="I45" s="236"/>
    </row>
    <row r="46" spans="1:11" s="100" customFormat="1" ht="13.5" customHeight="1" thickTop="1" thickBot="1" x14ac:dyDescent="0.25">
      <c r="A46" s="99" t="s">
        <v>112</v>
      </c>
      <c r="B46" s="153">
        <f>ROUND(B42/B50,2)</f>
        <v>3.53</v>
      </c>
      <c r="C46" s="153">
        <f>ROUND(C42/C50,2)</f>
        <v>2.06</v>
      </c>
      <c r="E46" s="132">
        <f>ROUND(E42/E50,2)</f>
        <v>7.45</v>
      </c>
      <c r="F46" s="132">
        <f>ROUND(F42/F50,2)</f>
        <v>4.8099999999999996</v>
      </c>
      <c r="H46" s="237"/>
      <c r="I46" s="237"/>
    </row>
    <row r="47" spans="1:11" ht="13.5" customHeight="1" thickTop="1" x14ac:dyDescent="0.2">
      <c r="A47" s="69"/>
      <c r="B47" s="152"/>
      <c r="C47" s="152"/>
      <c r="E47" s="152"/>
      <c r="F47" s="152"/>
      <c r="H47" s="152"/>
      <c r="I47" s="152"/>
    </row>
    <row r="48" spans="1:11" s="131" customFormat="1" ht="13.5" customHeight="1" x14ac:dyDescent="0.2">
      <c r="A48" s="47" t="s">
        <v>102</v>
      </c>
      <c r="B48" s="152"/>
      <c r="C48" s="152"/>
      <c r="E48" s="152"/>
      <c r="F48" s="152"/>
      <c r="H48" s="152"/>
      <c r="I48" s="152"/>
    </row>
    <row r="49" spans="1:9" ht="13.5" customHeight="1" thickBot="1" x14ac:dyDescent="0.25">
      <c r="A49" s="68" t="s">
        <v>79</v>
      </c>
      <c r="B49" s="154">
        <v>16543</v>
      </c>
      <c r="C49" s="154">
        <v>20156</v>
      </c>
      <c r="E49" s="154">
        <v>17018</v>
      </c>
      <c r="F49" s="154">
        <v>20529</v>
      </c>
      <c r="H49" s="49"/>
      <c r="I49" s="49"/>
    </row>
    <row r="50" spans="1:9" s="100" customFormat="1" ht="13.5" customHeight="1" thickTop="1" thickBot="1" x14ac:dyDescent="0.25">
      <c r="A50" s="99" t="s">
        <v>11</v>
      </c>
      <c r="B50" s="154">
        <v>17781</v>
      </c>
      <c r="C50" s="154">
        <v>21036</v>
      </c>
      <c r="E50" s="154">
        <v>18190</v>
      </c>
      <c r="F50" s="154">
        <v>21456</v>
      </c>
      <c r="H50" s="49"/>
      <c r="I50" s="49"/>
    </row>
    <row r="51" spans="1:9" ht="13.5" customHeight="1" thickTop="1" x14ac:dyDescent="0.2">
      <c r="A51" s="69"/>
      <c r="B51" s="152"/>
      <c r="C51" s="152"/>
      <c r="E51" s="152"/>
      <c r="F51" s="152"/>
      <c r="H51" s="152"/>
      <c r="I51" s="152"/>
    </row>
    <row r="52" spans="1:9" s="131" customFormat="1" ht="13.5" customHeight="1" thickBot="1" x14ac:dyDescent="0.25">
      <c r="A52" s="130" t="s">
        <v>103</v>
      </c>
      <c r="B52" s="153">
        <v>0.45</v>
      </c>
      <c r="C52" s="153">
        <v>0.4</v>
      </c>
      <c r="E52" s="132">
        <v>0.9</v>
      </c>
      <c r="F52" s="132">
        <v>0.8</v>
      </c>
      <c r="H52" s="237"/>
      <c r="I52" s="237"/>
    </row>
    <row r="53" spans="1:9" s="131" customFormat="1" ht="13.5" customHeight="1" thickTop="1" x14ac:dyDescent="0.2">
      <c r="A53" s="130"/>
      <c r="B53" s="231"/>
      <c r="C53" s="231"/>
      <c r="E53" s="152"/>
      <c r="F53" s="152"/>
      <c r="H53" s="152"/>
      <c r="I53" s="152"/>
    </row>
    <row r="54" spans="1:9" ht="13.5" customHeight="1" thickBot="1" x14ac:dyDescent="0.25">
      <c r="A54" s="41" t="s">
        <v>194</v>
      </c>
      <c r="B54" s="232">
        <f>'Reconciliation page'!B35</f>
        <v>105564</v>
      </c>
      <c r="C54" s="233">
        <f>'Reconciliation page'!C35</f>
        <v>85385</v>
      </c>
      <c r="E54" s="52">
        <f>'Reconciliation page'!E35</f>
        <v>212818</v>
      </c>
      <c r="F54" s="52">
        <f>'Reconciliation page'!F35</f>
        <v>190298</v>
      </c>
      <c r="H54" s="113"/>
      <c r="I54" s="113"/>
    </row>
    <row r="55" spans="1:9" ht="36.75" customHeight="1" thickTop="1" x14ac:dyDescent="0.2">
      <c r="A55" s="244" t="s">
        <v>160</v>
      </c>
      <c r="B55" s="244"/>
      <c r="C55" s="244"/>
      <c r="D55" s="244"/>
      <c r="E55" s="244"/>
      <c r="F55" s="244"/>
      <c r="H55" s="28"/>
      <c r="I55" s="28"/>
    </row>
    <row r="56" spans="1:9" ht="13.5" customHeight="1" x14ac:dyDescent="0.2">
      <c r="A56" s="17"/>
      <c r="B56" s="17"/>
    </row>
    <row r="57" spans="1:9" ht="13.5" customHeight="1" x14ac:dyDescent="0.2">
      <c r="A57" s="17"/>
      <c r="B57" s="20"/>
    </row>
    <row r="58" spans="1:9" ht="13.5" customHeight="1" x14ac:dyDescent="0.2">
      <c r="A58" s="17"/>
      <c r="B58" s="54"/>
    </row>
    <row r="59" spans="1:9" ht="13.5" customHeight="1" x14ac:dyDescent="0.2">
      <c r="A59" s="17"/>
      <c r="B59" s="17"/>
    </row>
    <row r="60" spans="1:9" ht="13.5" customHeight="1" x14ac:dyDescent="0.2">
      <c r="A60" s="17"/>
      <c r="B60" s="17"/>
    </row>
    <row r="61" spans="1:9" ht="13.5" customHeight="1" x14ac:dyDescent="0.2">
      <c r="A61" s="55"/>
      <c r="B61" s="55"/>
    </row>
    <row r="62" spans="1:9" ht="13.5" customHeight="1" x14ac:dyDescent="0.2">
      <c r="A62" s="55"/>
      <c r="B62" s="55"/>
    </row>
    <row r="63" spans="1:9" ht="13.5" customHeight="1" x14ac:dyDescent="0.2">
      <c r="A63" s="2"/>
      <c r="B63" s="2"/>
    </row>
    <row r="64" spans="1:9" ht="13.5" customHeight="1" x14ac:dyDescent="0.2">
      <c r="A64" s="2"/>
      <c r="B64" s="2"/>
    </row>
    <row r="65" spans="1:2" ht="13.5" customHeight="1" x14ac:dyDescent="0.2">
      <c r="A65" s="2"/>
      <c r="B65" s="2"/>
    </row>
    <row r="66" spans="1:2" ht="13.5" customHeight="1" x14ac:dyDescent="0.2">
      <c r="A66" s="2"/>
      <c r="B66" s="2"/>
    </row>
    <row r="67" spans="1:2" ht="13.5" customHeight="1" x14ac:dyDescent="0.2">
      <c r="A67" s="2"/>
      <c r="B67" s="2"/>
    </row>
    <row r="68" spans="1:2" ht="13.5" customHeight="1" x14ac:dyDescent="0.2">
      <c r="A68" s="2"/>
      <c r="B68" s="2"/>
    </row>
    <row r="69" spans="1:2" ht="13.5" customHeight="1" x14ac:dyDescent="0.2">
      <c r="A69" s="2"/>
      <c r="B69" s="2"/>
    </row>
    <row r="70" spans="1:2" ht="13.5" customHeight="1" x14ac:dyDescent="0.2">
      <c r="A70" s="2"/>
      <c r="B70" s="2"/>
    </row>
    <row r="71" spans="1:2" ht="13.5" customHeight="1" x14ac:dyDescent="0.2">
      <c r="A71" s="2"/>
      <c r="B71" s="2"/>
    </row>
    <row r="72" spans="1:2" ht="13.5" customHeight="1" x14ac:dyDescent="0.2">
      <c r="A72" s="2"/>
      <c r="B72" s="2"/>
    </row>
    <row r="73" spans="1:2" ht="13.5" customHeight="1" x14ac:dyDescent="0.2">
      <c r="A73" s="2"/>
      <c r="B73" s="2"/>
    </row>
    <row r="74" spans="1:2" ht="13.5" customHeight="1" x14ac:dyDescent="0.2">
      <c r="A74" s="2"/>
      <c r="B74" s="2"/>
    </row>
    <row r="75" spans="1:2" ht="13.5" customHeight="1" x14ac:dyDescent="0.2">
      <c r="A75" s="2"/>
      <c r="B75" s="2"/>
    </row>
    <row r="76" spans="1:2" ht="13.5" customHeight="1" x14ac:dyDescent="0.2">
      <c r="A76" s="2"/>
      <c r="B76" s="2"/>
    </row>
    <row r="77" spans="1:2" ht="13.5" customHeight="1" x14ac:dyDescent="0.2">
      <c r="A77" s="2"/>
      <c r="B77" s="2"/>
    </row>
    <row r="78" spans="1:2" ht="13.5" customHeight="1" x14ac:dyDescent="0.2">
      <c r="A78" s="2"/>
      <c r="B78" s="2"/>
    </row>
    <row r="79" spans="1:2" ht="13.5" customHeight="1" x14ac:dyDescent="0.2">
      <c r="A79" s="2"/>
      <c r="B79" s="2"/>
    </row>
    <row r="80" spans="1:2" ht="13.5" customHeight="1" x14ac:dyDescent="0.2">
      <c r="A80" s="2"/>
      <c r="B80" s="2"/>
    </row>
    <row r="81" spans="1:2" ht="13.5" customHeight="1" x14ac:dyDescent="0.2">
      <c r="A81" s="2"/>
      <c r="B81" s="2"/>
    </row>
    <row r="82" spans="1:2" ht="13.5" customHeight="1" x14ac:dyDescent="0.2">
      <c r="A82" s="2"/>
      <c r="B82" s="2"/>
    </row>
    <row r="83" spans="1:2" ht="13.5" customHeight="1" x14ac:dyDescent="0.2">
      <c r="A83" s="2"/>
      <c r="B83" s="2"/>
    </row>
    <row r="84" spans="1:2" ht="13.5" customHeight="1" x14ac:dyDescent="0.2">
      <c r="A84" s="2"/>
      <c r="B84" s="2"/>
    </row>
    <row r="85" spans="1:2" ht="13.5" customHeight="1" x14ac:dyDescent="0.2">
      <c r="A85" s="2"/>
      <c r="B85" s="2"/>
    </row>
    <row r="86" spans="1:2" ht="13.5" customHeight="1" x14ac:dyDescent="0.2">
      <c r="A86" s="2"/>
      <c r="B86" s="2"/>
    </row>
    <row r="87" spans="1:2" ht="13.5" customHeight="1" x14ac:dyDescent="0.2">
      <c r="A87" s="2"/>
      <c r="B87" s="2"/>
    </row>
    <row r="88" spans="1:2" ht="13.5" customHeight="1" x14ac:dyDescent="0.2">
      <c r="A88" s="2"/>
      <c r="B88" s="2"/>
    </row>
    <row r="89" spans="1:2" ht="13.5" customHeight="1" x14ac:dyDescent="0.2">
      <c r="A89" s="2"/>
      <c r="B89" s="2"/>
    </row>
    <row r="90" spans="1:2" ht="13.5" customHeight="1" x14ac:dyDescent="0.2">
      <c r="A90" s="2"/>
      <c r="B90" s="2"/>
    </row>
    <row r="91" spans="1:2" ht="13.5" customHeight="1" x14ac:dyDescent="0.2">
      <c r="A91" s="2"/>
      <c r="B91" s="2"/>
    </row>
    <row r="92" spans="1:2" ht="13.5" customHeight="1" x14ac:dyDescent="0.2">
      <c r="A92" s="2"/>
      <c r="B92" s="2"/>
    </row>
    <row r="93" spans="1:2" ht="13.5" customHeight="1" x14ac:dyDescent="0.2">
      <c r="A93" s="2"/>
      <c r="B93" s="2"/>
    </row>
    <row r="94" spans="1:2" ht="13.5" customHeight="1" x14ac:dyDescent="0.2">
      <c r="A94" s="2"/>
      <c r="B94" s="2"/>
    </row>
    <row r="95" spans="1:2" ht="13.5" customHeight="1" x14ac:dyDescent="0.2">
      <c r="A95" s="2"/>
      <c r="B95" s="2"/>
    </row>
    <row r="96" spans="1:2" ht="13.5" customHeight="1" x14ac:dyDescent="0.2">
      <c r="A96" s="2"/>
      <c r="B96" s="2"/>
    </row>
    <row r="97" spans="1:2" ht="13.5" customHeight="1" x14ac:dyDescent="0.2">
      <c r="A97" s="2"/>
      <c r="B97" s="2"/>
    </row>
    <row r="98" spans="1:2" ht="13.5" customHeight="1" x14ac:dyDescent="0.2">
      <c r="A98" s="2"/>
      <c r="B98" s="2"/>
    </row>
    <row r="99" spans="1:2" ht="13.5" customHeight="1" x14ac:dyDescent="0.2">
      <c r="A99" s="2"/>
      <c r="B99" s="2"/>
    </row>
    <row r="100" spans="1:2" ht="13.5" customHeight="1" x14ac:dyDescent="0.2">
      <c r="A100" s="2"/>
      <c r="B100" s="2"/>
    </row>
    <row r="101" spans="1:2" ht="13.5" customHeight="1" x14ac:dyDescent="0.2">
      <c r="A101" s="2"/>
      <c r="B101" s="2"/>
    </row>
    <row r="102" spans="1:2" ht="13.5" customHeight="1" x14ac:dyDescent="0.2">
      <c r="A102" s="2"/>
      <c r="B102" s="2"/>
    </row>
    <row r="103" spans="1:2" ht="13.5" customHeight="1" x14ac:dyDescent="0.2">
      <c r="A103" s="2"/>
      <c r="B103" s="2"/>
    </row>
    <row r="104" spans="1:2" ht="13.5" customHeight="1" x14ac:dyDescent="0.2">
      <c r="A104" s="2"/>
      <c r="B104" s="2"/>
    </row>
  </sheetData>
  <mergeCells count="8">
    <mergeCell ref="A1:F1"/>
    <mergeCell ref="A2:F2"/>
    <mergeCell ref="A3:F3"/>
    <mergeCell ref="A55:F55"/>
    <mergeCell ref="E6:F6"/>
    <mergeCell ref="B6:C6"/>
    <mergeCell ref="B8:C8"/>
    <mergeCell ref="E8:F8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2"/>
  <sheetViews>
    <sheetView workbookViewId="0">
      <selection activeCell="E6" sqref="E1:F1048576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80" hidden="1" customWidth="1"/>
    <col min="6" max="6" width="21.5" style="1" hidden="1" customWidth="1"/>
    <col min="7" max="16384" width="21.5" style="1"/>
  </cols>
  <sheetData>
    <row r="1" spans="1:7" ht="13.5" customHeight="1" x14ac:dyDescent="0.25">
      <c r="A1" s="243" t="s">
        <v>0</v>
      </c>
      <c r="B1" s="247"/>
      <c r="C1" s="247"/>
    </row>
    <row r="2" spans="1:7" ht="13.5" customHeight="1" x14ac:dyDescent="0.25">
      <c r="A2" s="243" t="s">
        <v>12</v>
      </c>
      <c r="B2" s="247"/>
      <c r="C2" s="247"/>
    </row>
    <row r="3" spans="1:7" ht="13.5" customHeight="1" x14ac:dyDescent="0.25">
      <c r="A3" s="243" t="s">
        <v>13</v>
      </c>
      <c r="B3" s="247"/>
      <c r="C3" s="247"/>
    </row>
    <row r="4" spans="1:7" ht="13.5" customHeight="1" x14ac:dyDescent="0.2">
      <c r="A4" s="3"/>
      <c r="B4" s="3"/>
      <c r="C4" s="3"/>
      <c r="D4" s="3"/>
    </row>
    <row r="5" spans="1:7" s="93" customFormat="1" ht="13.5" customHeight="1" x14ac:dyDescent="0.2">
      <c r="A5" s="92"/>
      <c r="B5" s="111"/>
      <c r="C5" s="111"/>
      <c r="D5" s="92"/>
      <c r="E5" s="80"/>
    </row>
    <row r="6" spans="1:7" ht="13.5" customHeight="1" x14ac:dyDescent="0.2">
      <c r="A6" s="3"/>
      <c r="B6" s="112" t="s">
        <v>184</v>
      </c>
      <c r="C6" s="96" t="s">
        <v>64</v>
      </c>
      <c r="D6" s="3"/>
    </row>
    <row r="7" spans="1:7" ht="13.5" customHeight="1" x14ac:dyDescent="0.2">
      <c r="A7" s="3"/>
      <c r="B7" s="108">
        <v>2019</v>
      </c>
      <c r="C7" s="10">
        <v>2018</v>
      </c>
      <c r="D7" s="3"/>
    </row>
    <row r="8" spans="1:7" ht="13.5" customHeight="1" x14ac:dyDescent="0.2">
      <c r="A8" s="3"/>
      <c r="B8" s="105" t="s">
        <v>2</v>
      </c>
      <c r="C8" s="95"/>
      <c r="D8" s="3"/>
    </row>
    <row r="9" spans="1:7" ht="13.5" customHeight="1" x14ac:dyDescent="0.2">
      <c r="A9" s="4" t="s">
        <v>14</v>
      </c>
      <c r="B9" s="16"/>
      <c r="C9" s="3"/>
      <c r="D9" s="3"/>
    </row>
    <row r="10" spans="1:7" ht="13.5" customHeight="1" x14ac:dyDescent="0.2">
      <c r="A10" s="4" t="s">
        <v>15</v>
      </c>
      <c r="B10" s="16"/>
      <c r="C10" s="3"/>
      <c r="D10" s="3"/>
    </row>
    <row r="11" spans="1:7" ht="13.5" customHeight="1" x14ac:dyDescent="0.2">
      <c r="A11" s="5" t="s">
        <v>16</v>
      </c>
      <c r="B11" s="113">
        <v>232429</v>
      </c>
      <c r="C11" s="56">
        <v>264937</v>
      </c>
      <c r="D11" s="3"/>
    </row>
    <row r="12" spans="1:7" ht="13.5" customHeight="1" x14ac:dyDescent="0.2">
      <c r="A12" s="5" t="s">
        <v>161</v>
      </c>
      <c r="B12" s="86">
        <v>162656</v>
      </c>
      <c r="C12" s="58">
        <v>162797</v>
      </c>
      <c r="D12" s="3"/>
    </row>
    <row r="13" spans="1:7" ht="13.5" customHeight="1" x14ac:dyDescent="0.2">
      <c r="A13" s="5" t="s">
        <v>18</v>
      </c>
      <c r="B13" s="86">
        <v>182824</v>
      </c>
      <c r="C13" s="58">
        <v>200904</v>
      </c>
      <c r="D13" s="3"/>
      <c r="F13" s="144"/>
      <c r="G13" s="144"/>
    </row>
    <row r="14" spans="1:7" ht="13.5" customHeight="1" x14ac:dyDescent="0.2">
      <c r="A14" s="5" t="s">
        <v>19</v>
      </c>
      <c r="B14" s="86">
        <v>32950</v>
      </c>
      <c r="C14" s="58">
        <v>48926</v>
      </c>
      <c r="D14" s="3"/>
      <c r="F14" s="144"/>
      <c r="G14" s="144"/>
    </row>
    <row r="15" spans="1:7" ht="13.5" customHeight="1" x14ac:dyDescent="0.2">
      <c r="A15" s="5" t="s">
        <v>20</v>
      </c>
      <c r="B15" s="86">
        <v>172841</v>
      </c>
      <c r="C15" s="58">
        <v>125470</v>
      </c>
      <c r="D15" s="3"/>
      <c r="F15" s="144"/>
      <c r="G15" s="144"/>
    </row>
    <row r="16" spans="1:7" ht="13.5" hidden="1" customHeight="1" x14ac:dyDescent="0.2">
      <c r="A16" s="5" t="s">
        <v>21</v>
      </c>
      <c r="B16" s="86"/>
      <c r="C16" s="58">
        <v>0</v>
      </c>
      <c r="D16" s="3"/>
      <c r="F16" s="144"/>
      <c r="G16" s="144"/>
    </row>
    <row r="17" spans="1:7" s="26" customFormat="1" ht="13.5" hidden="1" customHeight="1" x14ac:dyDescent="0.2">
      <c r="A17" s="5" t="s">
        <v>23</v>
      </c>
      <c r="B17" s="86"/>
      <c r="C17" s="58">
        <v>0</v>
      </c>
      <c r="D17" s="25"/>
      <c r="E17" s="80"/>
      <c r="F17" s="144"/>
      <c r="G17" s="144"/>
    </row>
    <row r="18" spans="1:7" ht="13.5" hidden="1" customHeight="1" x14ac:dyDescent="0.2">
      <c r="A18" s="5" t="s">
        <v>22</v>
      </c>
      <c r="B18" s="86"/>
      <c r="C18" s="58">
        <v>0</v>
      </c>
      <c r="D18" s="3"/>
      <c r="F18" s="144"/>
      <c r="G18" s="144"/>
    </row>
    <row r="19" spans="1:7" ht="13.5" customHeight="1" x14ac:dyDescent="0.2">
      <c r="A19" s="5" t="s">
        <v>24</v>
      </c>
      <c r="B19" s="60">
        <f>4586+14623+37784</f>
        <v>56993</v>
      </c>
      <c r="C19" s="60">
        <v>75749</v>
      </c>
      <c r="D19" s="79"/>
      <c r="F19" s="144"/>
      <c r="G19" s="144"/>
    </row>
    <row r="20" spans="1:7" ht="13.5" customHeight="1" x14ac:dyDescent="0.2">
      <c r="A20" s="5" t="s">
        <v>25</v>
      </c>
      <c r="B20" s="114">
        <f>SUM(B11:B19)</f>
        <v>840693</v>
      </c>
      <c r="C20" s="58">
        <f>SUM(C11:C19)</f>
        <v>878783</v>
      </c>
      <c r="D20" s="79"/>
      <c r="F20" s="144"/>
      <c r="G20" s="144"/>
    </row>
    <row r="21" spans="1:7" ht="13.5" customHeight="1" x14ac:dyDescent="0.2">
      <c r="A21" s="3"/>
      <c r="B21" s="101"/>
      <c r="C21" s="57"/>
      <c r="D21" s="3"/>
      <c r="F21" s="144"/>
      <c r="G21" s="144"/>
    </row>
    <row r="22" spans="1:7" ht="13.5" customHeight="1" x14ac:dyDescent="0.2">
      <c r="A22" s="4" t="s">
        <v>26</v>
      </c>
      <c r="B22" s="86">
        <v>870889</v>
      </c>
      <c r="C22" s="58">
        <v>834828</v>
      </c>
      <c r="D22" s="3"/>
      <c r="E22" s="83"/>
      <c r="F22" s="144"/>
      <c r="G22" s="144"/>
    </row>
    <row r="23" spans="1:7" ht="13.5" customHeight="1" x14ac:dyDescent="0.2">
      <c r="A23" s="3"/>
      <c r="B23" s="101"/>
      <c r="C23" s="57"/>
      <c r="D23" s="3"/>
    </row>
    <row r="24" spans="1:7" ht="13.5" customHeight="1" x14ac:dyDescent="0.2">
      <c r="A24" s="4" t="s">
        <v>27</v>
      </c>
      <c r="B24" s="101"/>
      <c r="C24" s="57"/>
      <c r="D24" s="3"/>
    </row>
    <row r="25" spans="1:7" ht="13.5" customHeight="1" x14ac:dyDescent="0.2">
      <c r="A25" s="5" t="s">
        <v>28</v>
      </c>
      <c r="B25" s="86">
        <v>106072</v>
      </c>
      <c r="C25" s="58">
        <v>104676</v>
      </c>
      <c r="D25" s="3"/>
    </row>
    <row r="26" spans="1:7" ht="13.5" customHeight="1" x14ac:dyDescent="0.2">
      <c r="A26" s="5" t="s">
        <v>29</v>
      </c>
      <c r="B26" s="60">
        <f>191+1600+70085</f>
        <v>71876</v>
      </c>
      <c r="C26" s="60">
        <v>68773</v>
      </c>
      <c r="D26" s="3"/>
    </row>
    <row r="27" spans="1:7" ht="13.5" customHeight="1" x14ac:dyDescent="0.2">
      <c r="A27" s="7" t="s">
        <v>30</v>
      </c>
      <c r="B27" s="60">
        <f>SUM(B25:B26)</f>
        <v>177948</v>
      </c>
      <c r="C27" s="60">
        <f>SUM(C25:C26)</f>
        <v>173449</v>
      </c>
      <c r="D27" s="3"/>
    </row>
    <row r="28" spans="1:7" ht="13.5" customHeight="1" thickBot="1" x14ac:dyDescent="0.25">
      <c r="A28" s="8" t="s">
        <v>31</v>
      </c>
      <c r="B28" s="61">
        <f>+B27+B22+B20</f>
        <v>1889530</v>
      </c>
      <c r="C28" s="61">
        <f>+C20+C22+C27</f>
        <v>1887060</v>
      </c>
      <c r="D28" s="3"/>
    </row>
    <row r="29" spans="1:7" ht="13.5" customHeight="1" thickTop="1" x14ac:dyDescent="0.2">
      <c r="A29" s="3"/>
      <c r="B29" s="101"/>
      <c r="C29" s="57"/>
      <c r="D29" s="3"/>
    </row>
    <row r="30" spans="1:7" ht="13.5" customHeight="1" x14ac:dyDescent="0.2">
      <c r="A30" s="4" t="s">
        <v>93</v>
      </c>
      <c r="B30" s="101"/>
      <c r="C30" s="57"/>
      <c r="D30" s="3"/>
    </row>
    <row r="31" spans="1:7" ht="13.5" customHeight="1" x14ac:dyDescent="0.2">
      <c r="A31" s="94" t="s">
        <v>75</v>
      </c>
      <c r="B31" s="101"/>
      <c r="C31" s="57"/>
      <c r="D31" s="3"/>
    </row>
    <row r="32" spans="1:7" ht="13.5" customHeight="1" x14ac:dyDescent="0.2">
      <c r="A32" s="5" t="s">
        <v>32</v>
      </c>
      <c r="B32" s="106">
        <f>135153+1062+2520</f>
        <v>138735</v>
      </c>
      <c r="C32" s="56">
        <v>128024</v>
      </c>
      <c r="D32" s="3"/>
    </row>
    <row r="33" spans="1:6" ht="13.5" customHeight="1" x14ac:dyDescent="0.2">
      <c r="A33" s="5" t="s">
        <v>33</v>
      </c>
      <c r="B33" s="86">
        <f>162674+67</f>
        <v>162741</v>
      </c>
      <c r="C33" s="58">
        <v>183514</v>
      </c>
      <c r="D33" s="3"/>
    </row>
    <row r="34" spans="1:6" ht="13.5" customHeight="1" x14ac:dyDescent="0.2">
      <c r="A34" s="5" t="s">
        <v>34</v>
      </c>
      <c r="B34" s="60">
        <v>13068</v>
      </c>
      <c r="C34" s="60">
        <v>17797</v>
      </c>
      <c r="D34" s="3"/>
    </row>
    <row r="35" spans="1:6" ht="13.5" customHeight="1" x14ac:dyDescent="0.2">
      <c r="A35" s="7" t="s">
        <v>35</v>
      </c>
      <c r="B35" s="86">
        <f>SUM(B32:B34)</f>
        <v>314544</v>
      </c>
      <c r="C35" s="58">
        <f>SUM(C32:C34)</f>
        <v>329335</v>
      </c>
      <c r="D35" s="3"/>
    </row>
    <row r="36" spans="1:6" ht="13.5" customHeight="1" x14ac:dyDescent="0.2">
      <c r="A36" s="5" t="s">
        <v>36</v>
      </c>
      <c r="B36" s="86">
        <v>295263</v>
      </c>
      <c r="C36" s="58">
        <v>300186</v>
      </c>
      <c r="D36" s="3"/>
    </row>
    <row r="37" spans="1:6" ht="13.5" customHeight="1" x14ac:dyDescent="0.2">
      <c r="A37" s="5" t="s">
        <v>37</v>
      </c>
      <c r="B37" s="86">
        <v>236317</v>
      </c>
      <c r="C37" s="58">
        <v>230304</v>
      </c>
      <c r="D37" s="3"/>
    </row>
    <row r="38" spans="1:6" ht="13.5" customHeight="1" x14ac:dyDescent="0.2">
      <c r="A38" s="5" t="s">
        <v>38</v>
      </c>
      <c r="B38" s="86">
        <v>11649</v>
      </c>
      <c r="C38" s="58">
        <v>16147</v>
      </c>
      <c r="D38" s="3"/>
    </row>
    <row r="39" spans="1:6" ht="13.5" customHeight="1" x14ac:dyDescent="0.2">
      <c r="A39" s="5" t="s">
        <v>39</v>
      </c>
      <c r="B39" s="86">
        <v>79992</v>
      </c>
      <c r="C39" s="58">
        <v>83163</v>
      </c>
      <c r="D39" s="3"/>
    </row>
    <row r="40" spans="1:6" ht="13.5" customHeight="1" x14ac:dyDescent="0.2">
      <c r="A40" s="5" t="s">
        <v>40</v>
      </c>
      <c r="B40" s="86">
        <v>173621</v>
      </c>
      <c r="C40" s="58">
        <v>174303</v>
      </c>
      <c r="D40" s="3"/>
    </row>
    <row r="41" spans="1:6" ht="13.5" hidden="1" customHeight="1" x14ac:dyDescent="0.2">
      <c r="A41" s="5" t="s">
        <v>23</v>
      </c>
      <c r="B41" s="86"/>
      <c r="C41" s="58">
        <v>0</v>
      </c>
      <c r="D41" s="3"/>
    </row>
    <row r="42" spans="1:6" ht="13.5" customHeight="1" x14ac:dyDescent="0.2">
      <c r="A42" s="5" t="s">
        <v>41</v>
      </c>
      <c r="B42" s="60">
        <f>80169+22+3</f>
        <v>80194</v>
      </c>
      <c r="C42" s="60">
        <v>48801</v>
      </c>
      <c r="D42" s="3"/>
    </row>
    <row r="43" spans="1:6" ht="13.5" customHeight="1" x14ac:dyDescent="0.2">
      <c r="A43" s="7" t="s">
        <v>76</v>
      </c>
      <c r="B43" s="86">
        <f>SUM(B35:B42)</f>
        <v>1191580</v>
      </c>
      <c r="C43" s="58">
        <f>SUM(C35:C42)</f>
        <v>1182239</v>
      </c>
      <c r="D43" s="9"/>
    </row>
    <row r="44" spans="1:6" ht="13.5" customHeight="1" x14ac:dyDescent="0.2">
      <c r="A44" s="3"/>
      <c r="B44" s="101"/>
      <c r="C44" s="57"/>
      <c r="D44" s="3"/>
    </row>
    <row r="45" spans="1:6" ht="13.5" customHeight="1" x14ac:dyDescent="0.2">
      <c r="A45" s="4" t="s">
        <v>92</v>
      </c>
      <c r="B45" s="101"/>
      <c r="C45" s="57"/>
      <c r="D45" s="3"/>
    </row>
    <row r="46" spans="1:6" ht="13.5" customHeight="1" x14ac:dyDescent="0.2">
      <c r="A46" s="5" t="s">
        <v>42</v>
      </c>
      <c r="B46" s="86">
        <v>250</v>
      </c>
      <c r="C46" s="58">
        <v>250</v>
      </c>
      <c r="D46" s="3"/>
    </row>
    <row r="47" spans="1:6" ht="13.5" customHeight="1" x14ac:dyDescent="0.2">
      <c r="A47" s="5" t="s">
        <v>43</v>
      </c>
      <c r="B47" s="86">
        <v>728996</v>
      </c>
      <c r="C47" s="58">
        <v>717492</v>
      </c>
      <c r="D47" s="3"/>
    </row>
    <row r="48" spans="1:6" ht="13.5" customHeight="1" x14ac:dyDescent="0.2">
      <c r="A48" s="5" t="s">
        <v>99</v>
      </c>
      <c r="B48" s="86">
        <v>647440</v>
      </c>
      <c r="C48" s="58">
        <v>527666</v>
      </c>
      <c r="D48" s="9"/>
      <c r="F48" s="102"/>
    </row>
    <row r="49" spans="1:7" s="129" customFormat="1" ht="13.5" customHeight="1" x14ac:dyDescent="0.2">
      <c r="A49" s="5" t="s">
        <v>100</v>
      </c>
      <c r="B49" s="86">
        <v>-725524</v>
      </c>
      <c r="C49" s="58">
        <v>-583883</v>
      </c>
      <c r="D49" s="9"/>
      <c r="E49" s="80"/>
      <c r="F49" s="102"/>
    </row>
    <row r="50" spans="1:7" ht="13.5" customHeight="1" x14ac:dyDescent="0.2">
      <c r="A50" s="5" t="s">
        <v>95</v>
      </c>
      <c r="B50" s="60">
        <v>46788</v>
      </c>
      <c r="C50" s="60">
        <v>43296</v>
      </c>
      <c r="D50" s="79"/>
    </row>
    <row r="51" spans="1:7" ht="13.5" customHeight="1" x14ac:dyDescent="0.2">
      <c r="A51" s="7" t="s">
        <v>96</v>
      </c>
      <c r="B51" s="62">
        <f>SUM(B46:B50)</f>
        <v>697950</v>
      </c>
      <c r="C51" s="62">
        <f>SUM(C46:C50)</f>
        <v>704821</v>
      </c>
      <c r="D51" s="3"/>
    </row>
    <row r="52" spans="1:7" ht="13.5" customHeight="1" thickBot="1" x14ac:dyDescent="0.25">
      <c r="A52" s="8" t="s">
        <v>97</v>
      </c>
      <c r="B52" s="61">
        <f>+B43+B51</f>
        <v>1889530</v>
      </c>
      <c r="C52" s="61">
        <f>+C43+C51</f>
        <v>1887060</v>
      </c>
      <c r="D52" s="3"/>
    </row>
    <row r="53" spans="1:7" ht="13.5" customHeight="1" thickTop="1" x14ac:dyDescent="0.2">
      <c r="A53" s="3"/>
      <c r="B53" s="3"/>
      <c r="C53" s="3"/>
      <c r="D53" s="3"/>
    </row>
    <row r="54" spans="1:7" ht="13.5" customHeight="1" x14ac:dyDescent="0.2">
      <c r="B54" s="32"/>
      <c r="C54" s="32"/>
    </row>
    <row r="55" spans="1:7" ht="13.5" customHeight="1" x14ac:dyDescent="0.2">
      <c r="B55" s="87"/>
      <c r="C55" s="32"/>
      <c r="E55" s="80" t="s">
        <v>104</v>
      </c>
      <c r="F55" s="87">
        <f>C48</f>
        <v>527666</v>
      </c>
    </row>
    <row r="56" spans="1:7" ht="13.5" customHeight="1" x14ac:dyDescent="0.2">
      <c r="B56" s="32"/>
      <c r="E56" s="80" t="s">
        <v>105</v>
      </c>
      <c r="F56" s="87">
        <f>'Income Statement'!E42</f>
        <v>135581</v>
      </c>
    </row>
    <row r="57" spans="1:7" ht="13.5" customHeight="1" x14ac:dyDescent="0.2">
      <c r="B57" s="32"/>
      <c r="E57" s="80" t="s">
        <v>106</v>
      </c>
      <c r="F57" s="142">
        <f>-F61-F62</f>
        <v>-15807</v>
      </c>
      <c r="G57" s="80"/>
    </row>
    <row r="58" spans="1:7" ht="13.5" customHeight="1" x14ac:dyDescent="0.2">
      <c r="B58" s="32"/>
      <c r="F58" s="87"/>
    </row>
    <row r="59" spans="1:7" ht="13.5" customHeight="1" thickBot="1" x14ac:dyDescent="0.25">
      <c r="F59" s="143">
        <f>SUM(F55:F58)</f>
        <v>647440</v>
      </c>
    </row>
    <row r="60" spans="1:7" ht="13.5" customHeight="1" thickTop="1" x14ac:dyDescent="0.2">
      <c r="F60" s="87"/>
    </row>
    <row r="61" spans="1:7" ht="13.5" customHeight="1" x14ac:dyDescent="0.2">
      <c r="E61" s="80" t="s">
        <v>47</v>
      </c>
      <c r="F61" s="87">
        <f>7839+7425</f>
        <v>15264</v>
      </c>
    </row>
    <row r="62" spans="1:7" ht="13.5" customHeight="1" x14ac:dyDescent="0.2">
      <c r="E62" s="80" t="s">
        <v>107</v>
      </c>
      <c r="F62" s="32">
        <f>272+271</f>
        <v>543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1"/>
  <sheetViews>
    <sheetView workbookViewId="0">
      <selection activeCell="B26" sqref="B26"/>
    </sheetView>
  </sheetViews>
  <sheetFormatPr defaultColWidth="21.5" defaultRowHeight="12.75" x14ac:dyDescent="0.2"/>
  <cols>
    <col min="1" max="1" width="75.6640625" style="14" customWidth="1"/>
    <col min="2" max="2" width="17.5" style="14" customWidth="1"/>
    <col min="3" max="3" width="17.5" style="28" customWidth="1"/>
    <col min="4" max="4" width="21.5" style="14" customWidth="1"/>
    <col min="5" max="5" width="25.83203125" style="14" hidden="1" customWidth="1"/>
    <col min="6" max="6" width="25.83203125" style="219" hidden="1" customWidth="1"/>
    <col min="7" max="16384" width="21.5" style="14"/>
  </cols>
  <sheetData>
    <row r="1" spans="1:21" ht="14.25" customHeight="1" x14ac:dyDescent="0.25">
      <c r="A1" s="243" t="s">
        <v>0</v>
      </c>
      <c r="B1" s="248"/>
      <c r="C1" s="248"/>
      <c r="D1" s="12"/>
      <c r="E1" s="12"/>
      <c r="F1" s="21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4.25" customHeight="1" x14ac:dyDescent="0.25">
      <c r="A2" s="243" t="s">
        <v>63</v>
      </c>
      <c r="B2" s="248"/>
      <c r="C2" s="248"/>
      <c r="D2" s="12"/>
      <c r="E2" s="12"/>
      <c r="F2" s="21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4.25" customHeight="1" x14ac:dyDescent="0.25">
      <c r="A3" s="243" t="s">
        <v>13</v>
      </c>
      <c r="B3" s="248"/>
      <c r="C3" s="248"/>
      <c r="D3" s="12"/>
      <c r="E3" s="12"/>
      <c r="F3" s="21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75" customHeight="1" x14ac:dyDescent="0.2">
      <c r="A4" s="13"/>
      <c r="B4" s="12"/>
      <c r="C4" s="16"/>
      <c r="D4" s="12"/>
      <c r="E4" s="12"/>
      <c r="F4" s="21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6"/>
      <c r="D5" s="12"/>
      <c r="E5" s="12"/>
      <c r="F5" s="218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3.5" customHeight="1" x14ac:dyDescent="0.2">
      <c r="A6" s="12"/>
      <c r="B6" s="245" t="s">
        <v>185</v>
      </c>
      <c r="C6" s="245"/>
      <c r="D6" s="12"/>
      <c r="E6" s="221" t="s">
        <v>158</v>
      </c>
      <c r="F6" s="221" t="s">
        <v>156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2"/>
      <c r="B7" s="108">
        <v>2019</v>
      </c>
      <c r="C7" s="195">
        <v>2018</v>
      </c>
      <c r="D7" s="12"/>
      <c r="E7" s="220" t="s">
        <v>157</v>
      </c>
      <c r="F7" s="220" t="s">
        <v>159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3.5" customHeight="1" x14ac:dyDescent="0.2">
      <c r="A8" s="12"/>
      <c r="B8" s="246" t="s">
        <v>2</v>
      </c>
      <c r="C8" s="246"/>
      <c r="D8" s="12"/>
      <c r="E8" s="12"/>
      <c r="F8" s="218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3.5" customHeight="1" x14ac:dyDescent="0.2">
      <c r="A9" s="15" t="s">
        <v>62</v>
      </c>
      <c r="B9" s="16"/>
      <c r="C9" s="16"/>
      <c r="D9" s="12"/>
      <c r="E9" s="12"/>
      <c r="F9" s="21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3.5" customHeight="1" x14ac:dyDescent="0.2">
      <c r="A10" s="11" t="s">
        <v>109</v>
      </c>
      <c r="B10" s="113">
        <f>'Income Statement'!E42</f>
        <v>135581</v>
      </c>
      <c r="C10" s="113">
        <f>'Income Statement'!F42</f>
        <v>103291</v>
      </c>
      <c r="D10" s="9"/>
      <c r="E10" s="113">
        <v>103291</v>
      </c>
      <c r="F10" s="113">
        <f>B10-E10</f>
        <v>32290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3.5" customHeight="1" x14ac:dyDescent="0.2">
      <c r="A11" s="11" t="s">
        <v>154</v>
      </c>
      <c r="B11" s="90"/>
      <c r="C11" s="90"/>
      <c r="D11" s="12"/>
      <c r="E11" s="90"/>
      <c r="F11" s="9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3.5" customHeight="1" x14ac:dyDescent="0.2">
      <c r="A12" s="5" t="s">
        <v>5</v>
      </c>
      <c r="B12" s="86">
        <f>'Income Statement'!E14</f>
        <v>51797</v>
      </c>
      <c r="C12" s="86">
        <f>'Income Statement'!F14</f>
        <v>60252</v>
      </c>
      <c r="D12" s="12"/>
      <c r="E12" s="19">
        <v>60252</v>
      </c>
      <c r="F12" s="19">
        <f>B12-E12</f>
        <v>-8455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93" customFormat="1" ht="13.5" customHeight="1" x14ac:dyDescent="0.2">
      <c r="A13" s="5" t="s">
        <v>78</v>
      </c>
      <c r="B13" s="86">
        <f>'Income Statement'!E15</f>
        <v>10274</v>
      </c>
      <c r="C13" s="86">
        <f>'Income Statement'!F15</f>
        <v>13985</v>
      </c>
      <c r="D13" s="92"/>
      <c r="E13" s="19">
        <v>13985</v>
      </c>
      <c r="F13" s="19">
        <f t="shared" ref="F13:F20" si="0">B13-E13</f>
        <v>-3711</v>
      </c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</row>
    <row r="14" spans="1:21" ht="13.5" customHeight="1" x14ac:dyDescent="0.2">
      <c r="A14" s="5" t="s">
        <v>80</v>
      </c>
      <c r="B14" s="86">
        <f>'Income Statement'!E16</f>
        <v>76</v>
      </c>
      <c r="C14" s="86">
        <f>'Income Statement'!F16</f>
        <v>6299</v>
      </c>
      <c r="D14" s="12"/>
      <c r="E14" s="19">
        <v>6299</v>
      </c>
      <c r="F14" s="19">
        <f t="shared" si="0"/>
        <v>-6223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3.5" hidden="1" customHeight="1" x14ac:dyDescent="0.2">
      <c r="A15" s="5" t="s">
        <v>61</v>
      </c>
      <c r="B15" s="86">
        <v>0</v>
      </c>
      <c r="C15" s="86">
        <v>0</v>
      </c>
      <c r="D15" s="9"/>
      <c r="E15" s="19">
        <v>0</v>
      </c>
      <c r="F15" s="19">
        <f t="shared" si="0"/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71" customFormat="1" ht="13.5" customHeight="1" x14ac:dyDescent="0.2">
      <c r="A16" s="5" t="s">
        <v>23</v>
      </c>
      <c r="B16" s="86">
        <v>13385</v>
      </c>
      <c r="C16" s="86">
        <v>8730</v>
      </c>
      <c r="D16" s="9"/>
      <c r="E16" s="19">
        <v>8730</v>
      </c>
      <c r="F16" s="19">
        <f t="shared" si="0"/>
        <v>4655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ht="13.5" customHeight="1" x14ac:dyDescent="0.2">
      <c r="A17" s="5" t="s">
        <v>60</v>
      </c>
      <c r="B17" s="86">
        <v>11473</v>
      </c>
      <c r="C17" s="86">
        <v>7992</v>
      </c>
      <c r="D17" s="12"/>
      <c r="E17" s="19">
        <v>7992</v>
      </c>
      <c r="F17" s="19">
        <f t="shared" si="0"/>
        <v>3481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s="71" customFormat="1" ht="13.5" customHeight="1" x14ac:dyDescent="0.2">
      <c r="A18" s="5" t="s">
        <v>177</v>
      </c>
      <c r="B18" s="86">
        <v>-1415</v>
      </c>
      <c r="C18" s="86">
        <v>131</v>
      </c>
      <c r="D18" s="70"/>
      <c r="E18" s="19">
        <v>131</v>
      </c>
      <c r="F18" s="19">
        <f t="shared" si="0"/>
        <v>-1546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s="82" customFormat="1" ht="13.5" customHeight="1" x14ac:dyDescent="0.2">
      <c r="A19" s="42" t="s">
        <v>71</v>
      </c>
      <c r="B19" s="86">
        <v>0</v>
      </c>
      <c r="C19" s="86">
        <v>485</v>
      </c>
      <c r="D19" s="81"/>
      <c r="E19" s="19">
        <v>485</v>
      </c>
      <c r="F19" s="19">
        <f t="shared" si="0"/>
        <v>-485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ht="13.5" customHeight="1" x14ac:dyDescent="0.2">
      <c r="A20" s="5" t="s">
        <v>59</v>
      </c>
      <c r="B20" s="86">
        <v>1826</v>
      </c>
      <c r="C20" s="86">
        <v>2170</v>
      </c>
      <c r="D20" s="12"/>
      <c r="E20" s="19">
        <v>2170</v>
      </c>
      <c r="F20" s="19">
        <f t="shared" si="0"/>
        <v>-344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71" customFormat="1" ht="13.5" hidden="1" customHeight="1" x14ac:dyDescent="0.2">
      <c r="A21" s="5" t="s">
        <v>71</v>
      </c>
      <c r="B21" s="86"/>
      <c r="C21" s="86"/>
      <c r="D21" s="70"/>
      <c r="E21" s="19"/>
      <c r="F21" s="19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13.5" customHeight="1" x14ac:dyDescent="0.2">
      <c r="A22" s="5" t="s">
        <v>58</v>
      </c>
      <c r="B22" s="101"/>
      <c r="C22" s="101"/>
      <c r="D22" s="12"/>
      <c r="E22" s="90"/>
      <c r="F22" s="90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3.5" customHeight="1" x14ac:dyDescent="0.2">
      <c r="A23" s="7" t="s">
        <v>57</v>
      </c>
      <c r="B23" s="86">
        <v>17871</v>
      </c>
      <c r="C23" s="86">
        <v>-20212</v>
      </c>
      <c r="D23" s="12"/>
      <c r="E23" s="19">
        <v>-20212</v>
      </c>
      <c r="F23" s="19">
        <f t="shared" ref="F23:F27" si="1">B23-E23</f>
        <v>38083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3.5" customHeight="1" x14ac:dyDescent="0.2">
      <c r="A24" s="7" t="s">
        <v>20</v>
      </c>
      <c r="B24" s="86">
        <v>-47370</v>
      </c>
      <c r="C24" s="86">
        <v>-28245</v>
      </c>
      <c r="D24" s="12"/>
      <c r="E24" s="19">
        <v>-28245</v>
      </c>
      <c r="F24" s="19">
        <f t="shared" si="1"/>
        <v>-19125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3.5" customHeight="1" x14ac:dyDescent="0.2">
      <c r="A25" s="7" t="s">
        <v>56</v>
      </c>
      <c r="B25" s="86">
        <f>1977+2520</f>
        <v>4497</v>
      </c>
      <c r="C25" s="86">
        <v>-11879</v>
      </c>
      <c r="D25" s="9"/>
      <c r="E25" s="19">
        <v>-11879</v>
      </c>
      <c r="F25" s="19">
        <f t="shared" si="1"/>
        <v>16376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73" customFormat="1" ht="13.5" customHeight="1" x14ac:dyDescent="0.2">
      <c r="A26" s="7" t="s">
        <v>94</v>
      </c>
      <c r="B26" s="86">
        <f>24669-94</f>
        <v>24575</v>
      </c>
      <c r="C26" s="86">
        <v>11560</v>
      </c>
      <c r="D26" s="9"/>
      <c r="E26" s="19">
        <v>11560</v>
      </c>
      <c r="F26" s="19">
        <f t="shared" si="1"/>
        <v>13015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</row>
    <row r="27" spans="1:21" ht="13.5" customHeight="1" x14ac:dyDescent="0.2">
      <c r="A27" s="22" t="s">
        <v>46</v>
      </c>
      <c r="B27" s="86">
        <f>60+98+197-375-843+2722+4-21126-4261+4270-3171+25766-5</f>
        <v>3336</v>
      </c>
      <c r="C27" s="86">
        <v>-9563</v>
      </c>
      <c r="D27" s="9"/>
      <c r="E27" s="19">
        <v>-9563</v>
      </c>
      <c r="F27" s="19">
        <f t="shared" si="1"/>
        <v>12899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3.5" customHeight="1" x14ac:dyDescent="0.2">
      <c r="A28" s="18" t="s">
        <v>139</v>
      </c>
      <c r="B28" s="114">
        <f>SUM(B10:B27)</f>
        <v>225906</v>
      </c>
      <c r="C28" s="114">
        <f>SUM(C10:C27)</f>
        <v>144996</v>
      </c>
      <c r="D28" s="6"/>
      <c r="E28" s="63">
        <f>SUM(E10:E27)</f>
        <v>144996</v>
      </c>
      <c r="F28" s="63">
        <f>SUM(F10:F27)</f>
        <v>80910</v>
      </c>
      <c r="G28" s="12"/>
      <c r="H28" s="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3.5" customHeight="1" x14ac:dyDescent="0.2">
      <c r="A29" s="12"/>
      <c r="B29" s="101"/>
      <c r="C29" s="101"/>
      <c r="D29" s="12"/>
      <c r="E29" s="157"/>
      <c r="F29" s="157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3.5" customHeight="1" x14ac:dyDescent="0.2">
      <c r="A30" s="15" t="s">
        <v>55</v>
      </c>
      <c r="B30" s="101"/>
      <c r="C30" s="101"/>
      <c r="D30" s="12"/>
      <c r="E30" s="90"/>
      <c r="F30" s="9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3.5" customHeight="1" x14ac:dyDescent="0.2">
      <c r="A31" s="5" t="s">
        <v>54</v>
      </c>
      <c r="B31" s="86">
        <f>-88691+837</f>
        <v>-87854</v>
      </c>
      <c r="C31" s="86">
        <v>-30049</v>
      </c>
      <c r="D31" s="12"/>
      <c r="E31" s="19">
        <v>-30049</v>
      </c>
      <c r="F31" s="19">
        <f t="shared" ref="F31:F36" si="2">B31-E31</f>
        <v>-57805</v>
      </c>
      <c r="G31" s="12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3.5" customHeight="1" x14ac:dyDescent="0.2">
      <c r="A32" s="5" t="s">
        <v>77</v>
      </c>
      <c r="B32" s="86">
        <v>-1125</v>
      </c>
      <c r="C32" s="86">
        <v>-124</v>
      </c>
      <c r="D32" s="12"/>
      <c r="E32" s="19">
        <v>-124</v>
      </c>
      <c r="F32" s="19">
        <f t="shared" si="2"/>
        <v>-1001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3.5" customHeight="1" x14ac:dyDescent="0.2">
      <c r="A33" s="5" t="s">
        <v>155</v>
      </c>
      <c r="B33" s="86">
        <v>1591</v>
      </c>
      <c r="C33" s="86">
        <v>56</v>
      </c>
      <c r="D33" s="12"/>
      <c r="E33" s="19">
        <v>56</v>
      </c>
      <c r="F33" s="19">
        <f t="shared" si="2"/>
        <v>1535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3.5" customHeight="1" x14ac:dyDescent="0.2">
      <c r="A34" s="5" t="s">
        <v>53</v>
      </c>
      <c r="B34" s="86">
        <v>-89454</v>
      </c>
      <c r="C34" s="86">
        <v>-110359</v>
      </c>
      <c r="D34" s="12"/>
      <c r="E34" s="19">
        <v>-110359</v>
      </c>
      <c r="F34" s="19">
        <f t="shared" si="2"/>
        <v>20905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3.5" customHeight="1" x14ac:dyDescent="0.2">
      <c r="A35" s="5" t="s">
        <v>52</v>
      </c>
      <c r="B35" s="86">
        <v>90424</v>
      </c>
      <c r="C35" s="86">
        <v>105150</v>
      </c>
      <c r="D35" s="12"/>
      <c r="E35" s="19">
        <v>105150</v>
      </c>
      <c r="F35" s="19">
        <f t="shared" si="2"/>
        <v>-14726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3.5" customHeight="1" x14ac:dyDescent="0.2">
      <c r="A36" s="5" t="s">
        <v>51</v>
      </c>
      <c r="B36" s="60">
        <v>-3275</v>
      </c>
      <c r="C36" s="60">
        <v>0</v>
      </c>
      <c r="D36" s="12"/>
      <c r="E36" s="59">
        <v>0</v>
      </c>
      <c r="F36" s="59">
        <f t="shared" si="2"/>
        <v>-3275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3.5" customHeight="1" x14ac:dyDescent="0.2">
      <c r="A37" s="18" t="s">
        <v>191</v>
      </c>
      <c r="B37" s="86">
        <f>SUM(B31:B36)</f>
        <v>-89693</v>
      </c>
      <c r="C37" s="86">
        <f>SUM(C31:C36)</f>
        <v>-35326</v>
      </c>
      <c r="D37" s="9"/>
      <c r="E37" s="19">
        <f>SUM(E31:E36)</f>
        <v>-35326</v>
      </c>
      <c r="F37" s="19">
        <f>SUM(F31:F36)</f>
        <v>-54367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3.5" customHeight="1" x14ac:dyDescent="0.2">
      <c r="A38" s="12"/>
      <c r="B38" s="101"/>
      <c r="C38" s="101"/>
      <c r="D38" s="12"/>
      <c r="E38" s="90"/>
      <c r="F38" s="90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3.5" customHeight="1" x14ac:dyDescent="0.2">
      <c r="A39" s="15" t="s">
        <v>50</v>
      </c>
      <c r="B39" s="101"/>
      <c r="C39" s="101"/>
      <c r="D39" s="12"/>
      <c r="E39" s="90"/>
      <c r="F39" s="90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198" customFormat="1" ht="13.5" customHeight="1" x14ac:dyDescent="0.2">
      <c r="A40" s="5" t="s">
        <v>140</v>
      </c>
      <c r="B40" s="86">
        <v>-1500</v>
      </c>
      <c r="C40" s="86">
        <v>-1500</v>
      </c>
      <c r="D40" s="197"/>
      <c r="E40" s="19">
        <v>-1500</v>
      </c>
      <c r="F40" s="19">
        <f t="shared" ref="F40:F46" si="3">B40-E40</f>
        <v>0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</row>
    <row r="41" spans="1:21" ht="13.5" customHeight="1" x14ac:dyDescent="0.2">
      <c r="A41" s="5" t="s">
        <v>49</v>
      </c>
      <c r="B41" s="86">
        <v>-8845</v>
      </c>
      <c r="C41" s="86">
        <v>-7307</v>
      </c>
      <c r="D41" s="12"/>
      <c r="E41" s="19">
        <v>-7307</v>
      </c>
      <c r="F41" s="19">
        <f t="shared" si="3"/>
        <v>-1538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s="93" customFormat="1" ht="13.5" customHeight="1" x14ac:dyDescent="0.2">
      <c r="A42" s="5" t="s">
        <v>48</v>
      </c>
      <c r="B42" s="86">
        <v>0</v>
      </c>
      <c r="C42" s="86">
        <v>-529</v>
      </c>
      <c r="D42" s="92"/>
      <c r="E42" s="19">
        <v>-529</v>
      </c>
      <c r="F42" s="19">
        <f t="shared" si="3"/>
        <v>529</v>
      </c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</row>
    <row r="43" spans="1:21" s="65" customFormat="1" ht="13.5" customHeight="1" x14ac:dyDescent="0.2">
      <c r="A43" s="42" t="s">
        <v>71</v>
      </c>
      <c r="B43" s="86">
        <v>0</v>
      </c>
      <c r="C43" s="86">
        <v>-50</v>
      </c>
      <c r="D43" s="64"/>
      <c r="E43" s="19">
        <v>-50</v>
      </c>
      <c r="F43" s="19">
        <f t="shared" si="3"/>
        <v>50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</row>
    <row r="44" spans="1:21" ht="13.5" customHeight="1" x14ac:dyDescent="0.2">
      <c r="A44" s="5" t="s">
        <v>47</v>
      </c>
      <c r="B44" s="86">
        <v>-15264</v>
      </c>
      <c r="C44" s="86">
        <v>-16333</v>
      </c>
      <c r="D44" s="12"/>
      <c r="E44" s="19">
        <v>-16333</v>
      </c>
      <c r="F44" s="19">
        <f t="shared" si="3"/>
        <v>1069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s="24" customFormat="1" ht="13.5" customHeight="1" x14ac:dyDescent="0.2">
      <c r="A45" s="5" t="s">
        <v>101</v>
      </c>
      <c r="B45" s="86">
        <v>-143142</v>
      </c>
      <c r="C45" s="86">
        <v>-115973</v>
      </c>
      <c r="D45" s="23"/>
      <c r="E45" s="19">
        <v>-115973</v>
      </c>
      <c r="F45" s="19">
        <f t="shared" si="3"/>
        <v>-27169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s="40" customFormat="1" ht="13.5" customHeight="1" x14ac:dyDescent="0.2">
      <c r="A46" s="5" t="s">
        <v>46</v>
      </c>
      <c r="B46" s="60">
        <v>30</v>
      </c>
      <c r="C46" s="60">
        <v>10</v>
      </c>
      <c r="D46" s="39"/>
      <c r="E46" s="59">
        <v>10</v>
      </c>
      <c r="F46" s="59">
        <f t="shared" si="3"/>
        <v>20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3.5" customHeight="1" x14ac:dyDescent="0.2">
      <c r="A47" s="7" t="s">
        <v>141</v>
      </c>
      <c r="B47" s="60">
        <f>SUM(B40:B46)</f>
        <v>-168721</v>
      </c>
      <c r="C47" s="60">
        <f>SUM(C40:C46)</f>
        <v>-141682</v>
      </c>
      <c r="D47" s="12"/>
      <c r="E47" s="59">
        <f>SUM(E40:E46)</f>
        <v>-141682</v>
      </c>
      <c r="F47" s="59">
        <f>SUM(F40:F46)</f>
        <v>-27039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3.5" customHeight="1" x14ac:dyDescent="0.2">
      <c r="A48" s="12"/>
      <c r="B48" s="101"/>
      <c r="C48" s="101"/>
      <c r="D48" s="12"/>
      <c r="E48" s="90"/>
      <c r="F48" s="90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3.5" customHeight="1" x14ac:dyDescent="0.2">
      <c r="A49" s="11" t="s">
        <v>195</v>
      </c>
      <c r="B49" s="86">
        <f>+B47+B37+B28</f>
        <v>-32508</v>
      </c>
      <c r="C49" s="86">
        <f>C28+C37+C47</f>
        <v>-32012</v>
      </c>
      <c r="D49" s="12"/>
      <c r="E49" s="19">
        <f>+E47+E37+E28</f>
        <v>-32012</v>
      </c>
      <c r="F49" s="19">
        <f>+F47+F37+F28</f>
        <v>-496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3.5" customHeight="1" x14ac:dyDescent="0.2">
      <c r="A50" s="11" t="s">
        <v>196</v>
      </c>
      <c r="B50" s="60">
        <v>264937</v>
      </c>
      <c r="C50" s="60">
        <v>273602</v>
      </c>
      <c r="D50" s="12"/>
      <c r="E50" s="59">
        <f>273387+215</f>
        <v>273602</v>
      </c>
      <c r="F50" s="59">
        <v>291258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3.5" customHeight="1" x14ac:dyDescent="0.2">
      <c r="A51" s="12"/>
      <c r="B51" s="90"/>
      <c r="C51" s="90"/>
      <c r="D51" s="12"/>
      <c r="E51" s="90"/>
      <c r="F51" s="90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3.5" customHeight="1" thickBot="1" x14ac:dyDescent="0.25">
      <c r="A52" s="11" t="s">
        <v>197</v>
      </c>
      <c r="B52" s="52">
        <f>+B49+B50</f>
        <v>232429</v>
      </c>
      <c r="C52" s="52">
        <f>SUM(C49:C50)</f>
        <v>241590</v>
      </c>
      <c r="D52" s="12"/>
      <c r="E52" s="52">
        <f>+E49+E50</f>
        <v>241590</v>
      </c>
      <c r="F52" s="52">
        <f>+F49+F50</f>
        <v>290762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8.75" customHeight="1" thickTop="1" x14ac:dyDescent="0.2">
      <c r="A53" s="12"/>
      <c r="B53" s="53"/>
      <c r="C53" s="90"/>
      <c r="D53" s="12"/>
      <c r="E53" s="217"/>
      <c r="F53" s="217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8.75" customHeight="1" x14ac:dyDescent="0.2">
      <c r="A54" s="199" t="s">
        <v>144</v>
      </c>
      <c r="B54" s="58"/>
      <c r="C54" s="86"/>
      <c r="D54" s="12"/>
      <c r="E54" s="58"/>
      <c r="F54" s="58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8.75" customHeight="1" x14ac:dyDescent="0.2">
      <c r="A55" s="5" t="s">
        <v>16</v>
      </c>
      <c r="B55" s="66">
        <f>'Balance Sheet'!B11</f>
        <v>232429</v>
      </c>
      <c r="C55" s="161">
        <v>241590</v>
      </c>
      <c r="D55" s="12"/>
      <c r="E55" s="66">
        <v>241590</v>
      </c>
      <c r="F55" s="66">
        <v>241590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8.75" customHeight="1" x14ac:dyDescent="0.2">
      <c r="A56" s="5" t="s">
        <v>136</v>
      </c>
      <c r="B56" s="60">
        <v>0</v>
      </c>
      <c r="C56" s="200">
        <v>0</v>
      </c>
      <c r="D56" s="12"/>
      <c r="E56" s="59">
        <v>0</v>
      </c>
      <c r="F56" s="59">
        <v>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3.5" customHeight="1" x14ac:dyDescent="0.2">
      <c r="A57" s="12"/>
      <c r="B57" s="66"/>
      <c r="C57" s="161"/>
      <c r="D57" s="12"/>
      <c r="E57" s="66"/>
      <c r="F57" s="6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8.75" customHeight="1" thickBot="1" x14ac:dyDescent="0.25">
      <c r="A58" s="12"/>
      <c r="B58" s="201">
        <f>SUM(B55:B57)</f>
        <v>232429</v>
      </c>
      <c r="C58" s="201">
        <f>SUM(C55:C57)</f>
        <v>241590</v>
      </c>
      <c r="D58" s="12"/>
      <c r="E58" s="201">
        <f>SUM(E55:E57)</f>
        <v>241590</v>
      </c>
      <c r="F58" s="201">
        <f>SUM(F55:F57)</f>
        <v>241590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8.75" customHeight="1" thickTop="1" x14ac:dyDescent="0.2">
      <c r="A59" s="12"/>
      <c r="B59" s="53"/>
      <c r="C59" s="90"/>
      <c r="D59" s="12"/>
      <c r="E59" s="12"/>
      <c r="F59" s="218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8.75" customHeight="1" x14ac:dyDescent="0.2">
      <c r="A60" s="12"/>
      <c r="B60" s="66"/>
      <c r="C60" s="90"/>
      <c r="D60" s="12"/>
      <c r="E60" s="12"/>
      <c r="F60" s="218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8.75" customHeight="1" x14ac:dyDescent="0.2">
      <c r="A61" s="12"/>
      <c r="B61" s="53"/>
      <c r="C61" s="90"/>
      <c r="D61" s="12"/>
      <c r="E61" s="12"/>
      <c r="F61" s="218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.75" customHeight="1" x14ac:dyDescent="0.2">
      <c r="A62" s="12"/>
      <c r="B62" s="53"/>
      <c r="C62" s="90"/>
      <c r="D62" s="12"/>
      <c r="E62" s="12"/>
      <c r="F62" s="218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8.75" customHeight="1" x14ac:dyDescent="0.2">
      <c r="A63" s="12"/>
      <c r="B63" s="53"/>
      <c r="C63" s="90"/>
      <c r="D63" s="12"/>
      <c r="E63" s="12"/>
      <c r="F63" s="218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8.75" customHeight="1" x14ac:dyDescent="0.2">
      <c r="A64" s="12"/>
      <c r="B64" s="53"/>
      <c r="C64" s="90"/>
      <c r="D64" s="12"/>
      <c r="E64" s="12"/>
      <c r="F64" s="218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8.75" customHeight="1" x14ac:dyDescent="0.2">
      <c r="A65" s="12"/>
      <c r="B65" s="53"/>
      <c r="C65" s="90"/>
      <c r="D65" s="12"/>
      <c r="E65" s="12"/>
      <c r="F65" s="218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8.75" customHeight="1" x14ac:dyDescent="0.2">
      <c r="A66" s="12"/>
      <c r="B66" s="53"/>
      <c r="C66" s="90"/>
      <c r="D66" s="12"/>
      <c r="E66" s="12"/>
      <c r="F66" s="218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8.75" customHeight="1" x14ac:dyDescent="0.2">
      <c r="A67" s="12"/>
      <c r="B67" s="53"/>
      <c r="C67" s="90"/>
      <c r="D67" s="12"/>
      <c r="E67" s="12"/>
      <c r="F67" s="218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8.75" customHeight="1" x14ac:dyDescent="0.2">
      <c r="A68" s="12"/>
      <c r="B68" s="53"/>
      <c r="C68" s="90"/>
      <c r="D68" s="12"/>
      <c r="E68" s="12"/>
      <c r="F68" s="218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8.75" customHeight="1" x14ac:dyDescent="0.2">
      <c r="A69" s="12"/>
      <c r="B69" s="53"/>
      <c r="C69" s="90"/>
      <c r="D69" s="12"/>
      <c r="E69" s="12"/>
      <c r="F69" s="218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8.75" customHeight="1" x14ac:dyDescent="0.2">
      <c r="A70" s="12"/>
      <c r="B70" s="53"/>
      <c r="C70" s="90"/>
      <c r="D70" s="12"/>
      <c r="E70" s="12"/>
      <c r="F70" s="218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8.75" customHeight="1" x14ac:dyDescent="0.2">
      <c r="A71" s="12"/>
      <c r="B71" s="12"/>
      <c r="C71" s="16"/>
      <c r="D71" s="12"/>
      <c r="E71" s="12"/>
      <c r="F71" s="218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8.75" customHeight="1" x14ac:dyDescent="0.2">
      <c r="A72" s="12"/>
      <c r="B72" s="12"/>
      <c r="C72" s="16"/>
      <c r="D72" s="12"/>
      <c r="E72" s="12"/>
      <c r="F72" s="218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8.75" customHeight="1" x14ac:dyDescent="0.2">
      <c r="A73" s="12"/>
      <c r="B73" s="12"/>
      <c r="C73" s="16"/>
      <c r="D73" s="12"/>
      <c r="E73" s="12"/>
      <c r="F73" s="218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8.75" customHeight="1" x14ac:dyDescent="0.2">
      <c r="A74" s="12"/>
      <c r="B74" s="12"/>
      <c r="C74" s="16"/>
      <c r="D74" s="12"/>
      <c r="E74" s="12"/>
      <c r="F74" s="218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8.75" customHeight="1" x14ac:dyDescent="0.2">
      <c r="A75" s="12"/>
      <c r="B75" s="12"/>
      <c r="C75" s="16"/>
      <c r="D75" s="12"/>
      <c r="E75" s="12"/>
      <c r="F75" s="218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8.75" customHeight="1" x14ac:dyDescent="0.2">
      <c r="A76" s="12"/>
      <c r="B76" s="12"/>
      <c r="C76" s="16"/>
      <c r="D76" s="12"/>
      <c r="E76" s="12"/>
      <c r="F76" s="218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8.75" customHeight="1" x14ac:dyDescent="0.2">
      <c r="A77" s="12"/>
      <c r="B77" s="12"/>
      <c r="C77" s="16"/>
      <c r="D77" s="12"/>
      <c r="E77" s="12"/>
      <c r="F77" s="218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8.75" customHeight="1" x14ac:dyDescent="0.2">
      <c r="A78" s="12"/>
      <c r="B78" s="12"/>
      <c r="C78" s="16"/>
      <c r="D78" s="12"/>
      <c r="E78" s="12"/>
      <c r="F78" s="218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8.75" customHeight="1" x14ac:dyDescent="0.2">
      <c r="A79" s="12"/>
      <c r="B79" s="12"/>
      <c r="C79" s="16"/>
      <c r="D79" s="12"/>
      <c r="E79" s="12"/>
      <c r="F79" s="218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8.75" customHeight="1" x14ac:dyDescent="0.2">
      <c r="A80" s="12"/>
      <c r="B80" s="12"/>
      <c r="C80" s="16"/>
      <c r="D80" s="12"/>
      <c r="E80" s="12"/>
      <c r="F80" s="218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.75" customHeight="1" x14ac:dyDescent="0.2">
      <c r="A81" s="12"/>
      <c r="B81" s="12"/>
      <c r="C81" s="16"/>
      <c r="D81" s="12"/>
      <c r="E81" s="12"/>
      <c r="F81" s="218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8.75" customHeight="1" x14ac:dyDescent="0.2">
      <c r="A82" s="12"/>
      <c r="B82" s="12"/>
      <c r="C82" s="16"/>
      <c r="D82" s="12"/>
      <c r="E82" s="12"/>
      <c r="F82" s="218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8.75" customHeight="1" x14ac:dyDescent="0.2">
      <c r="A83" s="12"/>
      <c r="B83" s="12"/>
      <c r="C83" s="16"/>
      <c r="D83" s="12"/>
      <c r="E83" s="12"/>
      <c r="F83" s="218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8.75" customHeight="1" x14ac:dyDescent="0.2">
      <c r="A84" s="12"/>
      <c r="B84" s="12"/>
      <c r="C84" s="16"/>
      <c r="D84" s="12"/>
      <c r="E84" s="12"/>
      <c r="F84" s="218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8.75" customHeight="1" x14ac:dyDescent="0.2">
      <c r="A85" s="12"/>
      <c r="B85" s="12"/>
      <c r="C85" s="16"/>
      <c r="D85" s="12"/>
      <c r="E85" s="12"/>
      <c r="F85" s="218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8.75" customHeight="1" x14ac:dyDescent="0.2">
      <c r="A86" s="12"/>
      <c r="B86" s="12"/>
      <c r="C86" s="16"/>
      <c r="D86" s="12"/>
      <c r="E86" s="12"/>
      <c r="F86" s="218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8.75" customHeight="1" x14ac:dyDescent="0.2">
      <c r="A87" s="12"/>
      <c r="B87" s="12"/>
      <c r="C87" s="16"/>
      <c r="D87" s="12"/>
      <c r="E87" s="12"/>
      <c r="F87" s="218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8.75" customHeight="1" x14ac:dyDescent="0.2">
      <c r="A88" s="12"/>
      <c r="B88" s="12"/>
      <c r="C88" s="16"/>
      <c r="D88" s="12"/>
      <c r="E88" s="12"/>
      <c r="F88" s="218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8.75" customHeight="1" x14ac:dyDescent="0.2">
      <c r="A89" s="12"/>
      <c r="B89" s="12"/>
      <c r="C89" s="16"/>
      <c r="D89" s="12"/>
      <c r="E89" s="12"/>
      <c r="F89" s="218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.75" customHeight="1" x14ac:dyDescent="0.2">
      <c r="A90" s="12"/>
      <c r="B90" s="12"/>
      <c r="C90" s="16"/>
      <c r="D90" s="12"/>
      <c r="E90" s="12"/>
      <c r="F90" s="218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8.75" customHeight="1" x14ac:dyDescent="0.2">
      <c r="A91" s="12"/>
      <c r="B91" s="12"/>
      <c r="C91" s="16"/>
      <c r="D91" s="12"/>
      <c r="E91" s="12"/>
      <c r="F91" s="218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</sheetData>
  <mergeCells count="5">
    <mergeCell ref="A1:C1"/>
    <mergeCell ref="A2:C2"/>
    <mergeCell ref="A3:C3"/>
    <mergeCell ref="B6:C6"/>
    <mergeCell ref="B8:C8"/>
  </mergeCells>
  <pageMargins left="0.7" right="0.7" top="0.75" bottom="0.75" header="0.3" footer="0.3"/>
  <pageSetup scale="91" orientation="portrait" r:id="rId1"/>
  <ignoredErrors>
    <ignoredError sqref="C49 C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F95"/>
  <sheetViews>
    <sheetView workbookViewId="0">
      <selection activeCell="A10" sqref="A10"/>
    </sheetView>
  </sheetViews>
  <sheetFormatPr defaultColWidth="21.5" defaultRowHeight="12.75" x14ac:dyDescent="0.2"/>
  <cols>
    <col min="1" max="1" width="73" style="27" customWidth="1"/>
    <col min="2" max="2" width="2.1640625" style="27" customWidth="1"/>
    <col min="3" max="4" width="15.83203125" style="27" customWidth="1"/>
    <col min="5" max="16384" width="21.5" style="27"/>
  </cols>
  <sheetData>
    <row r="1" spans="1:6" ht="13.5" customHeight="1" x14ac:dyDescent="0.25">
      <c r="A1" s="249" t="s">
        <v>0</v>
      </c>
      <c r="B1" s="250"/>
      <c r="C1" s="250"/>
      <c r="D1" s="250"/>
    </row>
    <row r="2" spans="1:6" ht="13.5" customHeight="1" x14ac:dyDescent="0.25">
      <c r="A2" s="249" t="s">
        <v>65</v>
      </c>
      <c r="B2" s="250"/>
      <c r="C2" s="250"/>
      <c r="D2" s="250"/>
    </row>
    <row r="3" spans="1:6" ht="13.5" customHeight="1" x14ac:dyDescent="0.25">
      <c r="A3" s="249" t="s">
        <v>13</v>
      </c>
      <c r="B3" s="250"/>
      <c r="C3" s="250"/>
      <c r="D3" s="250"/>
    </row>
    <row r="4" spans="1:6" ht="6" customHeight="1" x14ac:dyDescent="0.2"/>
    <row r="5" spans="1:6" ht="18.75" customHeight="1" x14ac:dyDescent="0.2">
      <c r="A5" s="29"/>
      <c r="B5" s="29"/>
      <c r="C5" s="112" t="s">
        <v>186</v>
      </c>
      <c r="D5" s="98" t="s">
        <v>66</v>
      </c>
    </row>
    <row r="6" spans="1:6" ht="12.75" customHeight="1" x14ac:dyDescent="0.2">
      <c r="A6" s="29"/>
      <c r="B6" s="29"/>
      <c r="C6" s="108">
        <v>2019</v>
      </c>
      <c r="D6" s="30">
        <v>2018</v>
      </c>
    </row>
    <row r="7" spans="1:6" ht="18.75" customHeight="1" x14ac:dyDescent="0.2">
      <c r="A7" s="29"/>
      <c r="B7" s="29"/>
      <c r="C7" s="115" t="s">
        <v>2</v>
      </c>
      <c r="D7" s="97"/>
    </row>
    <row r="8" spans="1:6" ht="18.75" customHeight="1" x14ac:dyDescent="0.2">
      <c r="A8" s="29"/>
      <c r="B8" s="29"/>
      <c r="C8" s="116"/>
      <c r="D8" s="33"/>
    </row>
    <row r="9" spans="1:6" s="123" customFormat="1" ht="18.75" customHeight="1" x14ac:dyDescent="0.2">
      <c r="A9" s="122" t="s">
        <v>198</v>
      </c>
      <c r="B9" s="124"/>
      <c r="C9" s="117">
        <v>292224</v>
      </c>
      <c r="D9" s="110">
        <v>293626</v>
      </c>
      <c r="F9" s="227"/>
    </row>
    <row r="10" spans="1:6" ht="13.5" customHeight="1" x14ac:dyDescent="0.2">
      <c r="A10" s="31" t="s">
        <v>46</v>
      </c>
      <c r="B10" s="29"/>
      <c r="C10" s="118">
        <v>21669</v>
      </c>
      <c r="D10" s="118">
        <v>30449</v>
      </c>
    </row>
    <row r="11" spans="1:6" s="76" customFormat="1" ht="13.5" customHeight="1" x14ac:dyDescent="0.2">
      <c r="A11" s="78" t="s">
        <v>73</v>
      </c>
      <c r="B11" s="77"/>
      <c r="C11" s="119">
        <v>-5562</v>
      </c>
      <c r="D11" s="119">
        <v>-6092</v>
      </c>
    </row>
    <row r="12" spans="1:6" ht="13.5" customHeight="1" x14ac:dyDescent="0.2">
      <c r="A12" s="29"/>
      <c r="B12" s="29"/>
      <c r="C12" s="242">
        <f>SUM(C9:C11)</f>
        <v>308331</v>
      </c>
      <c r="D12" s="242">
        <f>SUM(D9:D11)</f>
        <v>317983</v>
      </c>
    </row>
    <row r="13" spans="1:6" ht="13.5" customHeight="1" x14ac:dyDescent="0.2">
      <c r="A13" s="251" t="s">
        <v>67</v>
      </c>
      <c r="B13" s="252"/>
      <c r="C13" s="118">
        <v>13068</v>
      </c>
      <c r="D13" s="242">
        <v>17797</v>
      </c>
    </row>
    <row r="14" spans="1:6" ht="13.5" customHeight="1" thickBot="1" x14ac:dyDescent="0.25">
      <c r="A14" s="31" t="s">
        <v>36</v>
      </c>
      <c r="B14" s="29"/>
      <c r="C14" s="36">
        <f>C12-C13</f>
        <v>295263</v>
      </c>
      <c r="D14" s="36">
        <f>D12-D13</f>
        <v>300186</v>
      </c>
    </row>
    <row r="15" spans="1:6" ht="13.5" customHeight="1" thickTop="1" x14ac:dyDescent="0.2">
      <c r="A15" s="29"/>
      <c r="B15" s="29"/>
      <c r="C15" s="116"/>
      <c r="D15" s="85"/>
    </row>
    <row r="16" spans="1:6" ht="13.5" customHeight="1" x14ac:dyDescent="0.2">
      <c r="A16" s="31" t="s">
        <v>68</v>
      </c>
      <c r="C16" s="107"/>
      <c r="D16" s="35"/>
    </row>
    <row r="17" spans="1:4" ht="13.5" customHeight="1" x14ac:dyDescent="0.2">
      <c r="A17" s="78" t="s">
        <v>74</v>
      </c>
      <c r="C17" s="120">
        <f>C12-C11</f>
        <v>313893</v>
      </c>
      <c r="D17" s="34">
        <f>D12-D11</f>
        <v>324075</v>
      </c>
    </row>
    <row r="18" spans="1:4" ht="13.5" customHeight="1" x14ac:dyDescent="0.2">
      <c r="A18" s="31" t="s">
        <v>69</v>
      </c>
      <c r="C18" s="121"/>
      <c r="D18" s="35"/>
    </row>
    <row r="19" spans="1:4" ht="13.5" customHeight="1" x14ac:dyDescent="0.2">
      <c r="A19" s="31" t="s">
        <v>16</v>
      </c>
      <c r="C19" s="118">
        <f>'Balance Sheet'!B11</f>
        <v>232429</v>
      </c>
      <c r="D19" s="242">
        <f>'Balance Sheet'!C11</f>
        <v>264937</v>
      </c>
    </row>
    <row r="20" spans="1:4" ht="13.5" customHeight="1" x14ac:dyDescent="0.2">
      <c r="A20" s="31" t="s">
        <v>17</v>
      </c>
      <c r="C20" s="119">
        <f>'Balance Sheet'!B12</f>
        <v>162656</v>
      </c>
      <c r="D20" s="119">
        <f>'Balance Sheet'!C12</f>
        <v>162797</v>
      </c>
    </row>
    <row r="21" spans="1:4" ht="13.5" customHeight="1" x14ac:dyDescent="0.2">
      <c r="A21" s="29"/>
      <c r="C21" s="118">
        <f>+C19+C20</f>
        <v>395085</v>
      </c>
      <c r="D21" s="242">
        <f>+D19+D20</f>
        <v>427734</v>
      </c>
    </row>
    <row r="22" spans="1:4" ht="13.5" customHeight="1" thickBot="1" x14ac:dyDescent="0.25">
      <c r="A22" s="31" t="s">
        <v>70</v>
      </c>
      <c r="C22" s="36">
        <f>+C17-C21</f>
        <v>-81192</v>
      </c>
      <c r="D22" s="36">
        <f>+D17-D21</f>
        <v>-103659</v>
      </c>
    </row>
    <row r="23" spans="1:4" ht="18.75" customHeight="1" thickTop="1" x14ac:dyDescent="0.2">
      <c r="C23" s="35"/>
      <c r="D23" s="35"/>
    </row>
    <row r="24" spans="1:4" ht="18.75" customHeight="1" x14ac:dyDescent="0.2"/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4">
    <mergeCell ref="A1:D1"/>
    <mergeCell ref="A2:D2"/>
    <mergeCell ref="A3:D3"/>
    <mergeCell ref="A13:B13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"/>
  <sheetViews>
    <sheetView workbookViewId="0">
      <selection activeCell="B32" sqref="B32"/>
    </sheetView>
  </sheetViews>
  <sheetFormatPr defaultRowHeight="12.75" x14ac:dyDescent="0.2"/>
  <cols>
    <col min="1" max="1" width="60.1640625" style="134" customWidth="1"/>
    <col min="2" max="2" width="14.33203125" style="134" customWidth="1"/>
    <col min="3" max="3" width="10.1640625" style="134" bestFit="1" customWidth="1"/>
    <col min="4" max="4" width="14.33203125" style="134" customWidth="1"/>
    <col min="5" max="5" width="10.1640625" style="134" customWidth="1"/>
    <col min="6" max="6" width="14.33203125" style="134" customWidth="1"/>
    <col min="7" max="7" width="10.1640625" style="134" customWidth="1"/>
    <col min="8" max="10" width="9.33203125" style="134"/>
    <col min="11" max="11" width="14.1640625" style="134" bestFit="1" customWidth="1"/>
    <col min="12" max="13" width="12.83203125" style="134" bestFit="1" customWidth="1"/>
    <col min="14" max="16384" width="9.33203125" style="134"/>
  </cols>
  <sheetData>
    <row r="1" spans="1:7" ht="15.75" x14ac:dyDescent="0.25">
      <c r="A1" s="253" t="s">
        <v>0</v>
      </c>
      <c r="B1" s="253"/>
      <c r="C1" s="254"/>
      <c r="D1" s="254"/>
      <c r="E1" s="254"/>
      <c r="F1" s="254"/>
      <c r="G1" s="254"/>
    </row>
    <row r="2" spans="1:7" ht="15.75" x14ac:dyDescent="0.25">
      <c r="A2" s="253" t="s">
        <v>82</v>
      </c>
      <c r="B2" s="253"/>
      <c r="C2" s="254"/>
      <c r="D2" s="254"/>
      <c r="E2" s="254"/>
      <c r="F2" s="254"/>
      <c r="G2" s="254"/>
    </row>
    <row r="3" spans="1:7" ht="15.75" x14ac:dyDescent="0.25">
      <c r="A3" s="253" t="s">
        <v>83</v>
      </c>
      <c r="B3" s="253"/>
      <c r="C3" s="254"/>
      <c r="D3" s="254"/>
      <c r="E3" s="254"/>
      <c r="F3" s="254"/>
      <c r="G3" s="254"/>
    </row>
    <row r="4" spans="1:7" x14ac:dyDescent="0.2">
      <c r="A4" s="133"/>
      <c r="B4" s="133"/>
      <c r="C4" s="133"/>
      <c r="D4" s="167"/>
      <c r="E4" s="167"/>
      <c r="F4" s="167"/>
      <c r="G4" s="167"/>
    </row>
    <row r="5" spans="1:7" x14ac:dyDescent="0.2">
      <c r="A5" s="133"/>
      <c r="B5" s="169"/>
      <c r="C5" s="169"/>
      <c r="D5" s="169"/>
      <c r="E5" s="169"/>
      <c r="F5" s="169"/>
      <c r="G5" s="169"/>
    </row>
    <row r="6" spans="1:7" ht="25.5" customHeight="1" x14ac:dyDescent="0.2">
      <c r="A6" s="133"/>
      <c r="B6" s="255" t="s">
        <v>187</v>
      </c>
      <c r="C6" s="255"/>
      <c r="D6" s="255" t="s">
        <v>175</v>
      </c>
      <c r="E6" s="255"/>
      <c r="F6" s="255" t="s">
        <v>188</v>
      </c>
      <c r="G6" s="255"/>
    </row>
    <row r="7" spans="1:7" x14ac:dyDescent="0.2">
      <c r="A7" s="133"/>
      <c r="B7" s="135" t="s">
        <v>2</v>
      </c>
      <c r="C7" s="135"/>
      <c r="D7" s="135" t="s">
        <v>2</v>
      </c>
      <c r="E7" s="135"/>
      <c r="F7" s="135" t="s">
        <v>2</v>
      </c>
      <c r="G7" s="135"/>
    </row>
    <row r="8" spans="1:7" ht="12.75" customHeight="1" x14ac:dyDescent="0.2">
      <c r="A8" s="136" t="s">
        <v>84</v>
      </c>
      <c r="B8" s="239"/>
      <c r="C8" s="137"/>
      <c r="D8" s="137"/>
      <c r="E8" s="137"/>
      <c r="F8" s="137"/>
      <c r="G8" s="137"/>
    </row>
    <row r="9" spans="1:7" ht="12.75" customHeight="1" x14ac:dyDescent="0.2">
      <c r="A9" s="138" t="s">
        <v>85</v>
      </c>
      <c r="B9" s="240">
        <v>17.148689399999999</v>
      </c>
      <c r="C9" s="128"/>
      <c r="D9" s="128">
        <v>17.1406177</v>
      </c>
      <c r="E9" s="128"/>
      <c r="F9" s="128">
        <v>18.791742040000003</v>
      </c>
      <c r="G9" s="128"/>
    </row>
    <row r="10" spans="1:7" ht="12.75" customHeight="1" x14ac:dyDescent="0.2">
      <c r="A10" s="138"/>
      <c r="B10" s="125"/>
      <c r="C10" s="125"/>
      <c r="D10" s="125"/>
      <c r="E10" s="125"/>
      <c r="F10" s="125"/>
      <c r="G10" s="125"/>
    </row>
    <row r="11" spans="1:7" ht="12.75" customHeight="1" x14ac:dyDescent="0.2">
      <c r="A11" s="138" t="s">
        <v>86</v>
      </c>
      <c r="B11" s="126">
        <v>207.22499999999999</v>
      </c>
      <c r="C11" s="163">
        <f>B11/B9</f>
        <v>12.084013837232368</v>
      </c>
      <c r="D11" s="126">
        <v>208.72300000000001</v>
      </c>
      <c r="E11" s="163">
        <f>D11/D9</f>
        <v>12.177099078523874</v>
      </c>
      <c r="F11" s="126">
        <v>226.70130569</v>
      </c>
      <c r="G11" s="163">
        <f>ROUND(F11/F9,2)</f>
        <v>12.06</v>
      </c>
    </row>
    <row r="12" spans="1:7" ht="12.75" customHeight="1" x14ac:dyDescent="0.2">
      <c r="A12" s="138" t="s">
        <v>87</v>
      </c>
      <c r="B12" s="127">
        <v>193.636</v>
      </c>
      <c r="C12" s="139">
        <f>B12/B9</f>
        <v>11.291591764441195</v>
      </c>
      <c r="D12" s="127">
        <v>188.279</v>
      </c>
      <c r="E12" s="139">
        <f>D12/D9</f>
        <v>10.984376601550363</v>
      </c>
      <c r="F12" s="127">
        <v>200.38808413000001</v>
      </c>
      <c r="G12" s="139">
        <f>ROUND(F12/F9,2)</f>
        <v>10.66</v>
      </c>
    </row>
    <row r="13" spans="1:7" ht="12.75" customHeight="1" x14ac:dyDescent="0.2">
      <c r="A13" s="138" t="s">
        <v>88</v>
      </c>
      <c r="B13" s="128">
        <f t="shared" ref="B13:G13" si="0">B11-B12</f>
        <v>13.588999999999999</v>
      </c>
      <c r="C13" s="140">
        <f>C11-C12</f>
        <v>0.79242207279117238</v>
      </c>
      <c r="D13" s="128">
        <f t="shared" si="0"/>
        <v>20.444000000000017</v>
      </c>
      <c r="E13" s="140">
        <f>E11-E12+0.01</f>
        <v>1.2027224769735112</v>
      </c>
      <c r="F13" s="128">
        <f t="shared" si="0"/>
        <v>26.313221559999988</v>
      </c>
      <c r="G13" s="140">
        <f t="shared" si="0"/>
        <v>1.4000000000000004</v>
      </c>
    </row>
    <row r="14" spans="1:7" ht="12.75" customHeight="1" x14ac:dyDescent="0.2">
      <c r="A14" s="138"/>
      <c r="B14" s="125"/>
      <c r="C14" s="125"/>
      <c r="D14" s="125"/>
      <c r="E14" s="125"/>
      <c r="F14" s="125"/>
      <c r="G14" s="125"/>
    </row>
    <row r="15" spans="1:7" ht="12.75" customHeight="1" x14ac:dyDescent="0.2">
      <c r="A15" s="136" t="s">
        <v>89</v>
      </c>
      <c r="B15" s="137"/>
      <c r="C15" s="137"/>
      <c r="D15" s="137"/>
      <c r="E15" s="137"/>
      <c r="F15" s="137"/>
      <c r="G15" s="137"/>
    </row>
    <row r="16" spans="1:7" ht="12.75" customHeight="1" x14ac:dyDescent="0.2">
      <c r="A16" s="138" t="s">
        <v>85</v>
      </c>
      <c r="B16" s="240">
        <v>1.8924072700000001</v>
      </c>
      <c r="C16" s="125"/>
      <c r="D16" s="128">
        <v>1.7930084100000001</v>
      </c>
      <c r="E16" s="125"/>
      <c r="F16" s="128">
        <v>2.0093107199999998</v>
      </c>
      <c r="G16" s="125"/>
    </row>
    <row r="17" spans="1:7" ht="12.75" customHeight="1" x14ac:dyDescent="0.2">
      <c r="A17" s="138"/>
      <c r="B17" s="229"/>
      <c r="C17" s="125"/>
      <c r="D17" s="229"/>
      <c r="E17" s="125"/>
      <c r="F17" s="125"/>
      <c r="G17" s="125"/>
    </row>
    <row r="18" spans="1:7" ht="12.75" customHeight="1" x14ac:dyDescent="0.2">
      <c r="A18" s="138" t="s">
        <v>86</v>
      </c>
      <c r="B18" s="126">
        <v>219.28200000000001</v>
      </c>
      <c r="C18" s="163">
        <f>B18/B16</f>
        <v>115.87463411086981</v>
      </c>
      <c r="D18" s="126">
        <v>211.964</v>
      </c>
      <c r="E18" s="163">
        <f>D18/D16</f>
        <v>118.21695805654363</v>
      </c>
      <c r="F18" s="126">
        <v>209.72384381000001</v>
      </c>
      <c r="G18" s="163">
        <f>ROUND(F18/F16,2)</f>
        <v>104.38</v>
      </c>
    </row>
    <row r="19" spans="1:7" ht="12.75" customHeight="1" x14ac:dyDescent="0.2">
      <c r="A19" s="138" t="s">
        <v>87</v>
      </c>
      <c r="B19" s="127">
        <v>117.456</v>
      </c>
      <c r="C19" s="139">
        <f>B19/B16</f>
        <v>62.066977791730842</v>
      </c>
      <c r="D19" s="127">
        <v>120.613</v>
      </c>
      <c r="E19" s="139">
        <f>D19/D16</f>
        <v>67.268507680898153</v>
      </c>
      <c r="F19" s="127">
        <v>123.24022872</v>
      </c>
      <c r="G19" s="139">
        <f>ROUND(F19/F16,2)</f>
        <v>61.33</v>
      </c>
    </row>
    <row r="20" spans="1:7" ht="12.75" customHeight="1" x14ac:dyDescent="0.2">
      <c r="A20" s="138" t="s">
        <v>88</v>
      </c>
      <c r="B20" s="128">
        <f>B18-B19</f>
        <v>101.82600000000001</v>
      </c>
      <c r="C20" s="140">
        <f>C18-C19-0.01</f>
        <v>53.797656319138966</v>
      </c>
      <c r="D20" s="128">
        <f>D18-D19</f>
        <v>91.350999999999999</v>
      </c>
      <c r="E20" s="140">
        <f t="shared" ref="E20:G20" si="1">E18-E19</f>
        <v>50.948450375645479</v>
      </c>
      <c r="F20" s="128">
        <f t="shared" si="1"/>
        <v>86.483615090000001</v>
      </c>
      <c r="G20" s="140">
        <f t="shared" si="1"/>
        <v>43.05</v>
      </c>
    </row>
    <row r="21" spans="1:7" ht="12.75" customHeight="1" x14ac:dyDescent="0.2">
      <c r="A21" s="136"/>
      <c r="B21" s="137"/>
      <c r="C21" s="137"/>
      <c r="D21" s="137"/>
      <c r="E21" s="137"/>
      <c r="F21" s="137"/>
      <c r="G21" s="137"/>
    </row>
    <row r="22" spans="1:7" ht="12.75" customHeight="1" x14ac:dyDescent="0.2">
      <c r="A22" s="136" t="s">
        <v>90</v>
      </c>
      <c r="B22" s="137"/>
      <c r="C22" s="137"/>
      <c r="D22" s="137"/>
      <c r="E22" s="137"/>
      <c r="F22" s="137"/>
      <c r="G22" s="137"/>
    </row>
    <row r="23" spans="1:7" ht="12.75" customHeight="1" x14ac:dyDescent="0.2">
      <c r="A23" s="138" t="s">
        <v>85</v>
      </c>
      <c r="B23" s="240">
        <v>1.9159776500000001</v>
      </c>
      <c r="C23" s="125"/>
      <c r="D23" s="128">
        <v>1.6861931400000001</v>
      </c>
      <c r="E23" s="125"/>
      <c r="F23" s="128">
        <v>2.0364883300000001</v>
      </c>
      <c r="G23" s="125"/>
    </row>
    <row r="24" spans="1:7" ht="12.75" customHeight="1" x14ac:dyDescent="0.2">
      <c r="A24" s="138"/>
      <c r="B24" s="125"/>
      <c r="C24" s="125"/>
      <c r="D24" s="125"/>
      <c r="E24" s="125"/>
      <c r="F24" s="125"/>
      <c r="G24" s="125"/>
    </row>
    <row r="25" spans="1:7" ht="12.75" customHeight="1" x14ac:dyDescent="0.2">
      <c r="A25" s="138" t="s">
        <v>86</v>
      </c>
      <c r="B25" s="126">
        <v>74.902000000000001</v>
      </c>
      <c r="C25" s="163">
        <f>B25/B23</f>
        <v>39.093357900077798</v>
      </c>
      <c r="D25" s="126">
        <v>65.052000000000007</v>
      </c>
      <c r="E25" s="163">
        <f>D25/D23</f>
        <v>38.579210445607671</v>
      </c>
      <c r="F25" s="126">
        <v>74.883816949999996</v>
      </c>
      <c r="G25" s="163">
        <f>ROUND(F25/F23,2)</f>
        <v>36.770000000000003</v>
      </c>
    </row>
    <row r="26" spans="1:7" ht="12.75" customHeight="1" x14ac:dyDescent="0.2">
      <c r="A26" s="138" t="s">
        <v>87</v>
      </c>
      <c r="B26" s="127">
        <v>64.41</v>
      </c>
      <c r="C26" s="139">
        <f>B26/B23</f>
        <v>33.617302373020891</v>
      </c>
      <c r="D26" s="127">
        <v>59.484000000000002</v>
      </c>
      <c r="E26" s="139">
        <f>D26/D23</f>
        <v>35.277097616468772</v>
      </c>
      <c r="F26" s="127">
        <v>63.518729440000001</v>
      </c>
      <c r="G26" s="139">
        <f>ROUND(F26/F23,2)</f>
        <v>31.19</v>
      </c>
    </row>
    <row r="27" spans="1:7" ht="12.75" customHeight="1" x14ac:dyDescent="0.2">
      <c r="A27" s="138" t="s">
        <v>88</v>
      </c>
      <c r="B27" s="128">
        <f t="shared" ref="B27:G27" si="2">B25-B26</f>
        <v>10.492000000000004</v>
      </c>
      <c r="C27" s="140">
        <f>C25-C26-0.01</f>
        <v>5.4660555270569073</v>
      </c>
      <c r="D27" s="128">
        <f t="shared" si="2"/>
        <v>5.5680000000000049</v>
      </c>
      <c r="E27" s="140">
        <f t="shared" si="2"/>
        <v>3.302112829138899</v>
      </c>
      <c r="F27" s="128">
        <f t="shared" si="2"/>
        <v>11.365087509999995</v>
      </c>
      <c r="G27" s="140">
        <f t="shared" si="2"/>
        <v>5.5800000000000018</v>
      </c>
    </row>
    <row r="28" spans="1:7" ht="12.75" customHeight="1" x14ac:dyDescent="0.2">
      <c r="A28" s="136"/>
      <c r="B28" s="137"/>
      <c r="C28" s="137"/>
      <c r="D28" s="137"/>
      <c r="E28" s="137"/>
      <c r="F28" s="137"/>
      <c r="G28" s="137"/>
    </row>
    <row r="29" spans="1:7" ht="12.75" customHeight="1" x14ac:dyDescent="0.2">
      <c r="A29" s="136" t="s">
        <v>91</v>
      </c>
      <c r="B29" s="126">
        <f>B13+B20+B27</f>
        <v>125.90700000000001</v>
      </c>
      <c r="C29" s="137"/>
      <c r="D29" s="126">
        <f>D13+D20+D27</f>
        <v>117.36300000000003</v>
      </c>
      <c r="E29" s="137"/>
      <c r="F29" s="126">
        <f>F13+F20+F27</f>
        <v>124.16192415999998</v>
      </c>
      <c r="G29" s="137"/>
    </row>
    <row r="30" spans="1:7" ht="12.75" customHeight="1" x14ac:dyDescent="0.2">
      <c r="A30" s="136"/>
      <c r="B30" s="137"/>
      <c r="C30" s="137"/>
      <c r="D30" s="137"/>
      <c r="E30" s="137"/>
      <c r="F30" s="137"/>
      <c r="G30" s="137"/>
    </row>
    <row r="31" spans="1:7" ht="12.75" customHeight="1" x14ac:dyDescent="0.2">
      <c r="A31" s="136" t="s">
        <v>7</v>
      </c>
      <c r="B31" s="128">
        <v>-25.2</v>
      </c>
      <c r="C31" s="137"/>
      <c r="D31" s="128">
        <v>-24.1</v>
      </c>
      <c r="E31" s="137"/>
      <c r="F31" s="128">
        <v>-24.8</v>
      </c>
      <c r="G31" s="137"/>
    </row>
    <row r="32" spans="1:7" ht="12.75" customHeight="1" x14ac:dyDescent="0.2">
      <c r="A32" s="136" t="s">
        <v>46</v>
      </c>
      <c r="B32" s="127">
        <f>4.4+0.5</f>
        <v>4.9000000000000004</v>
      </c>
      <c r="C32" s="137"/>
      <c r="D32" s="127">
        <v>14</v>
      </c>
      <c r="E32" s="137"/>
      <c r="F32" s="127">
        <v>-14</v>
      </c>
      <c r="G32" s="137"/>
    </row>
    <row r="33" spans="1:7" ht="12.75" customHeight="1" x14ac:dyDescent="0.2">
      <c r="A33" s="136"/>
      <c r="B33" s="137"/>
      <c r="C33" s="137"/>
      <c r="D33" s="137"/>
      <c r="E33" s="137"/>
      <c r="F33" s="137"/>
      <c r="G33" s="137"/>
    </row>
    <row r="34" spans="1:7" ht="12.75" customHeight="1" thickBot="1" x14ac:dyDescent="0.25">
      <c r="A34" s="136" t="s">
        <v>145</v>
      </c>
      <c r="B34" s="141">
        <f>SUM(B29:B32)</f>
        <v>105.60700000000001</v>
      </c>
      <c r="C34" s="137"/>
      <c r="D34" s="141">
        <f>SUM(D29:D32)</f>
        <v>107.26300000000003</v>
      </c>
      <c r="E34" s="137"/>
      <c r="F34" s="141">
        <f>SUM(F29:F32)</f>
        <v>85.361924159999987</v>
      </c>
      <c r="G34" s="137"/>
    </row>
    <row r="35" spans="1:7" ht="12.75" customHeight="1" thickTop="1" x14ac:dyDescent="0.2">
      <c r="A35" s="136"/>
      <c r="B35" s="164"/>
      <c r="C35" s="137"/>
      <c r="D35" s="137"/>
      <c r="E35" s="137"/>
      <c r="F35" s="137"/>
      <c r="G35" s="137"/>
    </row>
    <row r="36" spans="1:7" ht="12.75" customHeight="1" x14ac:dyDescent="0.2">
      <c r="A36" s="145"/>
      <c r="B36" s="137"/>
      <c r="C36" s="137"/>
      <c r="D36" s="137"/>
      <c r="E36" s="137"/>
      <c r="F36" s="137"/>
      <c r="G36" s="137"/>
    </row>
    <row r="37" spans="1:7" x14ac:dyDescent="0.2">
      <c r="A37" s="136"/>
      <c r="B37" s="146"/>
      <c r="C37" s="136"/>
      <c r="D37" s="136"/>
      <c r="E37" s="136"/>
      <c r="F37" s="136"/>
      <c r="G37" s="136"/>
    </row>
    <row r="38" spans="1:7" x14ac:dyDescent="0.2">
      <c r="A38" s="136"/>
      <c r="B38" s="136"/>
      <c r="C38" s="136"/>
      <c r="D38" s="136"/>
      <c r="E38" s="136"/>
      <c r="F38" s="136"/>
      <c r="G38" s="136"/>
    </row>
  </sheetData>
  <mergeCells count="6">
    <mergeCell ref="A1:G1"/>
    <mergeCell ref="A2:G2"/>
    <mergeCell ref="A3:G3"/>
    <mergeCell ref="B6:C6"/>
    <mergeCell ref="D6:E6"/>
    <mergeCell ref="F6:G6"/>
  </mergeCells>
  <pageMargins left="0.7" right="0.7" top="0.75" bottom="0.75" header="0.3" footer="0.3"/>
  <pageSetup scale="74" orientation="portrait" r:id="rId1"/>
  <ignoredErrors>
    <ignoredError sqref="H9:I38" formulaRange="1"/>
    <ignoredError sqref="D13:E13 C20 C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3"/>
  <sheetViews>
    <sheetView workbookViewId="0">
      <selection activeCell="A4" sqref="A4"/>
    </sheetView>
  </sheetViews>
  <sheetFormatPr defaultRowHeight="12.75" x14ac:dyDescent="0.2"/>
  <cols>
    <col min="1" max="1" width="59.6640625" style="134" bestFit="1" customWidth="1"/>
    <col min="2" max="6" width="20.83203125" style="134" customWidth="1"/>
    <col min="7" max="7" width="9.33203125" style="134"/>
    <col min="8" max="8" width="14.33203125" style="134" customWidth="1"/>
    <col min="9" max="16384" width="9.33203125" style="134"/>
  </cols>
  <sheetData>
    <row r="1" spans="1:9" ht="15.75" x14ac:dyDescent="0.25">
      <c r="A1" s="253" t="s">
        <v>0</v>
      </c>
      <c r="B1" s="253"/>
      <c r="C1" s="254"/>
      <c r="D1" s="254"/>
      <c r="E1" s="254"/>
      <c r="F1" s="254"/>
      <c r="G1" s="254"/>
      <c r="H1" s="257"/>
      <c r="I1" s="257"/>
    </row>
    <row r="2" spans="1:9" ht="15.75" x14ac:dyDescent="0.25">
      <c r="A2" s="253" t="s">
        <v>114</v>
      </c>
      <c r="B2" s="253"/>
      <c r="C2" s="254"/>
      <c r="D2" s="254"/>
      <c r="E2" s="254"/>
      <c r="F2" s="254"/>
      <c r="G2" s="254"/>
      <c r="H2" s="258"/>
      <c r="I2" s="254"/>
    </row>
    <row r="3" spans="1:9" ht="15.75" x14ac:dyDescent="0.25">
      <c r="A3" s="253" t="s">
        <v>201</v>
      </c>
      <c r="B3" s="253"/>
      <c r="C3" s="254"/>
      <c r="D3" s="254"/>
      <c r="E3" s="254"/>
      <c r="F3" s="254"/>
      <c r="G3" s="254"/>
      <c r="H3" s="258"/>
      <c r="I3" s="254"/>
    </row>
    <row r="4" spans="1:9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9" x14ac:dyDescent="0.2">
      <c r="A5" s="251" t="s">
        <v>45</v>
      </c>
      <c r="B5" s="248"/>
      <c r="C5" s="248"/>
      <c r="D5" s="248"/>
      <c r="E5" s="248"/>
      <c r="F5" s="248"/>
      <c r="G5" s="194"/>
      <c r="H5" s="194"/>
      <c r="I5" s="194"/>
    </row>
    <row r="6" spans="1:9" x14ac:dyDescent="0.2">
      <c r="A6" s="251" t="s">
        <v>130</v>
      </c>
      <c r="B6" s="248"/>
      <c r="C6" s="248"/>
      <c r="D6" s="248"/>
      <c r="E6" s="248"/>
      <c r="F6" s="248"/>
      <c r="G6" s="194"/>
      <c r="H6" s="194"/>
      <c r="I6" s="194"/>
    </row>
    <row r="7" spans="1:9" x14ac:dyDescent="0.2">
      <c r="A7" s="194"/>
      <c r="B7" s="194"/>
      <c r="C7" s="194"/>
      <c r="D7" s="194"/>
      <c r="E7" s="194"/>
      <c r="F7" s="194"/>
      <c r="G7" s="194"/>
      <c r="H7" s="194"/>
      <c r="I7" s="194"/>
    </row>
    <row r="8" spans="1:9" x14ac:dyDescent="0.2">
      <c r="A8" s="190" t="s">
        <v>131</v>
      </c>
      <c r="B8" s="188"/>
      <c r="C8" s="188"/>
      <c r="D8" s="188"/>
      <c r="E8" s="188"/>
      <c r="F8" s="188"/>
    </row>
    <row r="9" spans="1:9" x14ac:dyDescent="0.2">
      <c r="A9" s="256"/>
      <c r="B9" s="256"/>
      <c r="C9" s="256"/>
      <c r="D9" s="256"/>
      <c r="E9" s="256"/>
      <c r="F9" s="256"/>
    </row>
    <row r="10" spans="1:9" x14ac:dyDescent="0.2">
      <c r="A10" s="191" t="s">
        <v>132</v>
      </c>
      <c r="B10" s="191"/>
      <c r="C10" s="191"/>
      <c r="D10" s="191"/>
      <c r="E10" s="191"/>
      <c r="F10" s="191"/>
    </row>
    <row r="11" spans="1:9" x14ac:dyDescent="0.2">
      <c r="A11" s="191" t="s">
        <v>162</v>
      </c>
      <c r="B11" s="189"/>
      <c r="C11" s="189"/>
      <c r="D11" s="189"/>
      <c r="E11" s="189"/>
      <c r="F11" s="189"/>
    </row>
    <row r="12" spans="1:9" ht="12.75" customHeight="1" x14ac:dyDescent="0.2">
      <c r="A12" s="192" t="s">
        <v>169</v>
      </c>
      <c r="B12" s="193"/>
      <c r="C12" s="193"/>
      <c r="D12" s="193"/>
      <c r="E12" s="193"/>
      <c r="F12" s="193"/>
    </row>
    <row r="13" spans="1:9" x14ac:dyDescent="0.2">
      <c r="A13" s="192" t="s">
        <v>163</v>
      </c>
      <c r="B13" s="193"/>
      <c r="C13" s="193"/>
      <c r="D13" s="193"/>
      <c r="E13" s="193"/>
      <c r="F13" s="193"/>
    </row>
    <row r="14" spans="1:9" x14ac:dyDescent="0.2">
      <c r="A14" s="192" t="s">
        <v>164</v>
      </c>
      <c r="B14" s="193"/>
      <c r="C14" s="193"/>
      <c r="D14" s="193"/>
      <c r="E14" s="193"/>
      <c r="F14" s="193"/>
    </row>
    <row r="15" spans="1:9" x14ac:dyDescent="0.2">
      <c r="A15" s="192" t="s">
        <v>165</v>
      </c>
      <c r="B15" s="193"/>
      <c r="C15" s="193"/>
      <c r="D15" s="193"/>
      <c r="E15" s="193"/>
      <c r="F15" s="193"/>
    </row>
    <row r="16" spans="1:9" x14ac:dyDescent="0.2">
      <c r="A16" s="178" t="s">
        <v>166</v>
      </c>
    </row>
    <row r="18" spans="1:6" ht="30" x14ac:dyDescent="0.25">
      <c r="A18" s="170" t="s">
        <v>189</v>
      </c>
      <c r="B18" s="171" t="s">
        <v>84</v>
      </c>
      <c r="C18" s="172" t="s">
        <v>89</v>
      </c>
      <c r="D18" s="172" t="s">
        <v>90</v>
      </c>
      <c r="E18" s="172" t="s">
        <v>115</v>
      </c>
      <c r="F18" s="173" t="s">
        <v>116</v>
      </c>
    </row>
    <row r="19" spans="1:6" x14ac:dyDescent="0.2">
      <c r="A19" s="166" t="s">
        <v>13</v>
      </c>
      <c r="B19" s="174"/>
      <c r="C19" s="175"/>
      <c r="D19" s="175"/>
      <c r="E19" s="175"/>
      <c r="F19" s="175"/>
    </row>
    <row r="20" spans="1:6" x14ac:dyDescent="0.2">
      <c r="A20" s="166" t="s">
        <v>167</v>
      </c>
      <c r="B20" s="179">
        <v>210149</v>
      </c>
      <c r="C20" s="179">
        <v>261245</v>
      </c>
      <c r="D20" s="179">
        <v>98205</v>
      </c>
      <c r="E20" s="179">
        <v>623</v>
      </c>
      <c r="F20" s="179">
        <f>SUM(B20:E20)</f>
        <v>570222</v>
      </c>
    </row>
    <row r="21" spans="1:6" ht="25.5" x14ac:dyDescent="0.2">
      <c r="A21" s="166" t="s">
        <v>117</v>
      </c>
      <c r="B21" s="179"/>
      <c r="C21" s="179"/>
      <c r="D21" s="179"/>
      <c r="E21" s="179"/>
      <c r="F21" s="179"/>
    </row>
    <row r="22" spans="1:6" ht="25.5" x14ac:dyDescent="0.2">
      <c r="A22" s="177" t="s">
        <v>118</v>
      </c>
      <c r="B22" s="222">
        <v>0</v>
      </c>
      <c r="C22" s="206">
        <v>0</v>
      </c>
      <c r="D22" s="206">
        <v>-1036</v>
      </c>
      <c r="E22" s="206">
        <v>0</v>
      </c>
      <c r="F22" s="222">
        <f>SUM(B22:E22)</f>
        <v>-1036</v>
      </c>
    </row>
    <row r="23" spans="1:6" ht="25.5" x14ac:dyDescent="0.2">
      <c r="A23" s="177" t="s">
        <v>119</v>
      </c>
      <c r="B23" s="222">
        <v>0</v>
      </c>
      <c r="C23" s="206">
        <v>0</v>
      </c>
      <c r="D23" s="206">
        <v>0</v>
      </c>
      <c r="E23" s="206">
        <v>623</v>
      </c>
      <c r="F23" s="222">
        <f>SUM(B23:E23)</f>
        <v>623</v>
      </c>
    </row>
    <row r="24" spans="1:6" x14ac:dyDescent="0.2">
      <c r="A24" s="177" t="s">
        <v>120</v>
      </c>
      <c r="B24" s="222">
        <v>2924</v>
      </c>
      <c r="C24" s="206">
        <v>41963</v>
      </c>
      <c r="D24" s="206">
        <v>24339</v>
      </c>
      <c r="E24" s="206">
        <v>0</v>
      </c>
      <c r="F24" s="222">
        <f>SUM(B24:E24)</f>
        <v>69226</v>
      </c>
    </row>
    <row r="25" spans="1:6" x14ac:dyDescent="0.2">
      <c r="A25" s="166" t="s">
        <v>121</v>
      </c>
      <c r="B25" s="207">
        <f>B20-SUM(B22:B24)</f>
        <v>207225</v>
      </c>
      <c r="C25" s="207">
        <f t="shared" ref="C25:E25" si="0">C20-SUM(C22:C24)</f>
        <v>219282</v>
      </c>
      <c r="D25" s="207">
        <f t="shared" si="0"/>
        <v>74902</v>
      </c>
      <c r="E25" s="207">
        <f t="shared" si="0"/>
        <v>0</v>
      </c>
      <c r="F25" s="207">
        <f>F20-SUM(F22:F24)</f>
        <v>501409</v>
      </c>
    </row>
    <row r="26" spans="1:6" x14ac:dyDescent="0.2">
      <c r="A26" s="166" t="s">
        <v>122</v>
      </c>
      <c r="B26" s="222">
        <v>17148.689400000003</v>
      </c>
      <c r="C26" s="222">
        <v>1892.4072699999999</v>
      </c>
      <c r="D26" s="222">
        <v>1915.9776499999998</v>
      </c>
      <c r="E26" s="179"/>
      <c r="F26" s="179"/>
    </row>
    <row r="27" spans="1:6" x14ac:dyDescent="0.2">
      <c r="A27" s="166" t="s">
        <v>123</v>
      </c>
      <c r="B27" s="208">
        <f>B25/B26</f>
        <v>12.084013837232364</v>
      </c>
      <c r="C27" s="208">
        <f>C25/C26</f>
        <v>115.87463411086981</v>
      </c>
      <c r="D27" s="208">
        <f t="shared" ref="D27" si="1">D25/D26</f>
        <v>39.093357900077805</v>
      </c>
      <c r="E27" s="179"/>
      <c r="F27" s="179"/>
    </row>
    <row r="28" spans="1:6" x14ac:dyDescent="0.2">
      <c r="A28" s="178"/>
      <c r="B28" s="178"/>
      <c r="C28" s="178"/>
      <c r="D28" s="178"/>
      <c r="E28" s="178"/>
      <c r="F28" s="178"/>
    </row>
    <row r="29" spans="1:6" x14ac:dyDescent="0.2">
      <c r="A29" s="178"/>
      <c r="B29" s="178"/>
      <c r="C29" s="178"/>
      <c r="D29" s="178"/>
      <c r="E29" s="178"/>
      <c r="F29" s="178"/>
    </row>
    <row r="30" spans="1:6" ht="30" x14ac:dyDescent="0.25">
      <c r="A30" s="170" t="s">
        <v>176</v>
      </c>
      <c r="B30" s="210" t="s">
        <v>84</v>
      </c>
      <c r="C30" s="211" t="s">
        <v>89</v>
      </c>
      <c r="D30" s="211" t="s">
        <v>90</v>
      </c>
      <c r="E30" s="211" t="s">
        <v>115</v>
      </c>
      <c r="F30" s="212" t="s">
        <v>116</v>
      </c>
    </row>
    <row r="31" spans="1:6" x14ac:dyDescent="0.2">
      <c r="A31" s="202" t="s">
        <v>13</v>
      </c>
      <c r="B31" s="213"/>
      <c r="C31" s="214"/>
      <c r="D31" s="214"/>
      <c r="E31" s="214"/>
      <c r="F31" s="214"/>
    </row>
    <row r="32" spans="1:6" x14ac:dyDescent="0.2">
      <c r="A32" s="202" t="s">
        <v>167</v>
      </c>
      <c r="B32" s="179">
        <v>212729</v>
      </c>
      <c r="C32" s="179">
        <v>253262</v>
      </c>
      <c r="D32" s="179">
        <v>85978</v>
      </c>
      <c r="E32" s="179">
        <v>3214</v>
      </c>
      <c r="F32" s="179">
        <f>SUM(B32:E32)</f>
        <v>555183</v>
      </c>
    </row>
    <row r="33" spans="1:6" ht="25.5" x14ac:dyDescent="0.2">
      <c r="A33" s="202" t="s">
        <v>117</v>
      </c>
      <c r="B33" s="179"/>
      <c r="C33" s="179"/>
      <c r="D33" s="179"/>
      <c r="E33" s="179"/>
      <c r="F33" s="179"/>
    </row>
    <row r="34" spans="1:6" ht="25.5" x14ac:dyDescent="0.2">
      <c r="A34" s="215" t="s">
        <v>118</v>
      </c>
      <c r="B34" s="222">
        <v>0</v>
      </c>
      <c r="C34" s="206">
        <v>0</v>
      </c>
      <c r="D34" s="206">
        <v>2044</v>
      </c>
      <c r="E34" s="206">
        <v>0</v>
      </c>
      <c r="F34" s="222">
        <f>SUM(B34:E34)</f>
        <v>2044</v>
      </c>
    </row>
    <row r="35" spans="1:6" ht="25.5" x14ac:dyDescent="0.2">
      <c r="A35" s="215" t="s">
        <v>119</v>
      </c>
      <c r="B35" s="222">
        <v>0</v>
      </c>
      <c r="C35" s="206">
        <v>0</v>
      </c>
      <c r="D35" s="206">
        <v>0</v>
      </c>
      <c r="E35" s="206">
        <v>3214</v>
      </c>
      <c r="F35" s="205">
        <f>SUM(B35:E35)</f>
        <v>3214</v>
      </c>
    </row>
    <row r="36" spans="1:6" x14ac:dyDescent="0.2">
      <c r="A36" s="215" t="s">
        <v>120</v>
      </c>
      <c r="B36" s="222">
        <v>4006</v>
      </c>
      <c r="C36" s="206">
        <v>41298</v>
      </c>
      <c r="D36" s="206">
        <v>18882</v>
      </c>
      <c r="E36" s="206">
        <v>0</v>
      </c>
      <c r="F36" s="205">
        <f>SUM(B36:E36)</f>
        <v>64186</v>
      </c>
    </row>
    <row r="37" spans="1:6" x14ac:dyDescent="0.2">
      <c r="A37" s="202" t="s">
        <v>121</v>
      </c>
      <c r="B37" s="207">
        <f>B32-SUM(B34:B36)</f>
        <v>208723</v>
      </c>
      <c r="C37" s="207">
        <f t="shared" ref="C37" si="2">C32-SUM(C34:C36)</f>
        <v>211964</v>
      </c>
      <c r="D37" s="207">
        <f t="shared" ref="D37" si="3">D32-SUM(D34:D36)</f>
        <v>65052</v>
      </c>
      <c r="E37" s="207">
        <f t="shared" ref="E37" si="4">E32-SUM(E34:E36)</f>
        <v>0</v>
      </c>
      <c r="F37" s="207">
        <f>F32-SUM(F34:F36)</f>
        <v>485739</v>
      </c>
    </row>
    <row r="38" spans="1:6" x14ac:dyDescent="0.2">
      <c r="A38" s="202" t="s">
        <v>122</v>
      </c>
      <c r="B38" s="222">
        <v>17140.617699999999</v>
      </c>
      <c r="C38" s="222">
        <v>1793.0084100000001</v>
      </c>
      <c r="D38" s="222">
        <v>1686.1931400000001</v>
      </c>
      <c r="E38" s="179"/>
      <c r="F38" s="179"/>
    </row>
    <row r="39" spans="1:6" x14ac:dyDescent="0.2">
      <c r="A39" s="202" t="s">
        <v>123</v>
      </c>
      <c r="B39" s="208">
        <f>B37/B38</f>
        <v>12.177099078523874</v>
      </c>
      <c r="C39" s="208">
        <f t="shared" ref="C39:D39" si="5">C37/C38</f>
        <v>118.21695805654363</v>
      </c>
      <c r="D39" s="208">
        <f t="shared" si="5"/>
        <v>38.579210445607671</v>
      </c>
      <c r="E39" s="179"/>
      <c r="F39" s="179"/>
    </row>
    <row r="40" spans="1:6" x14ac:dyDescent="0.2">
      <c r="A40" s="165"/>
      <c r="B40" s="179"/>
      <c r="C40" s="179"/>
      <c r="D40" s="179"/>
      <c r="E40" s="179"/>
      <c r="F40" s="179"/>
    </row>
    <row r="41" spans="1:6" ht="15" x14ac:dyDescent="0.25">
      <c r="A41" s="180"/>
      <c r="B41" s="181"/>
      <c r="C41" s="182"/>
      <c r="D41" s="183"/>
      <c r="E41" s="183"/>
      <c r="F41" s="182"/>
    </row>
    <row r="42" spans="1:6" ht="30" x14ac:dyDescent="0.25">
      <c r="A42" s="170" t="s">
        <v>190</v>
      </c>
      <c r="B42" s="171" t="s">
        <v>84</v>
      </c>
      <c r="C42" s="172" t="s">
        <v>89</v>
      </c>
      <c r="D42" s="172" t="s">
        <v>90</v>
      </c>
      <c r="E42" s="172" t="s">
        <v>115</v>
      </c>
      <c r="F42" s="173" t="s">
        <v>116</v>
      </c>
    </row>
    <row r="43" spans="1:6" x14ac:dyDescent="0.2">
      <c r="A43" s="166" t="s">
        <v>13</v>
      </c>
      <c r="B43" s="174"/>
      <c r="C43" s="175"/>
      <c r="D43" s="175"/>
      <c r="E43" s="175"/>
      <c r="F43" s="175"/>
    </row>
    <row r="44" spans="1:6" x14ac:dyDescent="0.2">
      <c r="A44" s="166" t="s">
        <v>168</v>
      </c>
      <c r="B44" s="179">
        <v>229878</v>
      </c>
      <c r="C44" s="179">
        <v>259032</v>
      </c>
      <c r="D44" s="179">
        <v>99814</v>
      </c>
      <c r="E44" s="179">
        <v>3625</v>
      </c>
      <c r="F44" s="179">
        <f>SUM(B44:E44)</f>
        <v>592349</v>
      </c>
    </row>
    <row r="45" spans="1:6" ht="25.5" x14ac:dyDescent="0.2">
      <c r="A45" s="166" t="s">
        <v>117</v>
      </c>
      <c r="B45" s="179"/>
      <c r="C45" s="179"/>
      <c r="D45" s="179"/>
      <c r="E45" s="179"/>
      <c r="F45" s="179"/>
    </row>
    <row r="46" spans="1:6" ht="25.5" x14ac:dyDescent="0.2">
      <c r="A46" s="177" t="s">
        <v>118</v>
      </c>
      <c r="B46" s="222">
        <v>0</v>
      </c>
      <c r="C46" s="206">
        <v>0</v>
      </c>
      <c r="D46" s="206">
        <v>1649</v>
      </c>
      <c r="E46" s="206">
        <v>0</v>
      </c>
      <c r="F46" s="222">
        <f>SUM(B46:E46)</f>
        <v>1649</v>
      </c>
    </row>
    <row r="47" spans="1:6" ht="25.5" x14ac:dyDescent="0.2">
      <c r="A47" s="177" t="s">
        <v>119</v>
      </c>
      <c r="B47" s="222">
        <v>0</v>
      </c>
      <c r="C47" s="206">
        <v>0</v>
      </c>
      <c r="D47" s="206">
        <v>0</v>
      </c>
      <c r="E47" s="206">
        <v>3625</v>
      </c>
      <c r="F47" s="222">
        <f>SUM(B47:E47)</f>
        <v>3625</v>
      </c>
    </row>
    <row r="48" spans="1:6" x14ac:dyDescent="0.2">
      <c r="A48" s="177" t="s">
        <v>120</v>
      </c>
      <c r="B48" s="222">
        <v>3176</v>
      </c>
      <c r="C48" s="206">
        <v>49308</v>
      </c>
      <c r="D48" s="206">
        <v>23281</v>
      </c>
      <c r="E48" s="206">
        <v>0</v>
      </c>
      <c r="F48" s="222">
        <f>SUM(B48:E48)</f>
        <v>75765</v>
      </c>
    </row>
    <row r="49" spans="1:6" x14ac:dyDescent="0.2">
      <c r="A49" s="166" t="s">
        <v>121</v>
      </c>
      <c r="B49" s="207">
        <f>B44-SUM(B46:B48)</f>
        <v>226702</v>
      </c>
      <c r="C49" s="207">
        <f t="shared" ref="C49" si="6">C44-SUM(C46:C48)</f>
        <v>209724</v>
      </c>
      <c r="D49" s="207">
        <f t="shared" ref="D49" si="7">D44-SUM(D46:D48)</f>
        <v>74884</v>
      </c>
      <c r="E49" s="207">
        <f t="shared" ref="E49" si="8">E44-SUM(E46:E48)</f>
        <v>0</v>
      </c>
      <c r="F49" s="207">
        <f>F44-SUM(F46:F48)</f>
        <v>511310</v>
      </c>
    </row>
    <row r="50" spans="1:6" x14ac:dyDescent="0.2">
      <c r="A50" s="166" t="s">
        <v>122</v>
      </c>
      <c r="B50" s="222">
        <v>18791.742040000001</v>
      </c>
      <c r="C50" s="222">
        <v>2009.3107199999999</v>
      </c>
      <c r="D50" s="222">
        <v>2036.4883299999999</v>
      </c>
      <c r="E50" s="179"/>
      <c r="F50" s="179"/>
    </row>
    <row r="51" spans="1:6" x14ac:dyDescent="0.2">
      <c r="A51" s="166" t="s">
        <v>123</v>
      </c>
      <c r="B51" s="208">
        <f>B49/B50</f>
        <v>12.063916134940728</v>
      </c>
      <c r="C51" s="208">
        <f t="shared" ref="C51" si="9">C49/C50</f>
        <v>104.37609171766127</v>
      </c>
      <c r="D51" s="208">
        <f t="shared" ref="D51" si="10">D49/D50</f>
        <v>36.771141232122851</v>
      </c>
      <c r="E51" s="179"/>
      <c r="F51" s="179"/>
    </row>
    <row r="52" spans="1:6" x14ac:dyDescent="0.2">
      <c r="A52" s="166"/>
      <c r="B52" s="174"/>
      <c r="C52" s="175"/>
      <c r="D52" s="175"/>
      <c r="E52" s="175"/>
      <c r="F52" s="175"/>
    </row>
    <row r="53" spans="1:6" ht="15" x14ac:dyDescent="0.25">
      <c r="A53" s="184"/>
      <c r="B53" s="185"/>
      <c r="C53" s="186"/>
      <c r="D53" s="187"/>
      <c r="E53" s="187"/>
      <c r="F53" s="186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7"/>
  <sheetViews>
    <sheetView workbookViewId="0">
      <selection activeCell="E20" sqref="E20"/>
    </sheetView>
  </sheetViews>
  <sheetFormatPr defaultRowHeight="12.75" x14ac:dyDescent="0.2"/>
  <cols>
    <col min="1" max="1" width="59.6640625" style="134" bestFit="1" customWidth="1"/>
    <col min="2" max="6" width="20.83203125" style="134" customWidth="1"/>
    <col min="7" max="7" width="9.33203125" style="134"/>
    <col min="8" max="8" width="14.33203125" style="134" customWidth="1"/>
    <col min="9" max="16384" width="9.33203125" style="134"/>
  </cols>
  <sheetData>
    <row r="1" spans="1:9" ht="15.75" x14ac:dyDescent="0.25">
      <c r="A1" s="253" t="s">
        <v>0</v>
      </c>
      <c r="B1" s="253"/>
      <c r="C1" s="254"/>
      <c r="D1" s="254"/>
      <c r="E1" s="254"/>
      <c r="F1" s="254"/>
      <c r="G1" s="254"/>
      <c r="H1" s="257"/>
      <c r="I1" s="257"/>
    </row>
    <row r="2" spans="1:9" ht="15.75" x14ac:dyDescent="0.25">
      <c r="A2" s="253" t="s">
        <v>114</v>
      </c>
      <c r="B2" s="253"/>
      <c r="C2" s="254"/>
      <c r="D2" s="254"/>
      <c r="E2" s="254"/>
      <c r="F2" s="254"/>
      <c r="G2" s="254"/>
      <c r="H2" s="258"/>
      <c r="I2" s="254"/>
    </row>
    <row r="3" spans="1:9" ht="15.75" x14ac:dyDescent="0.25">
      <c r="A3" s="253" t="s">
        <v>201</v>
      </c>
      <c r="B3" s="253"/>
      <c r="C3" s="254"/>
      <c r="D3" s="254"/>
      <c r="E3" s="254"/>
      <c r="F3" s="254"/>
      <c r="G3" s="254"/>
      <c r="H3" s="258"/>
      <c r="I3" s="254"/>
    </row>
    <row r="4" spans="1:9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9" x14ac:dyDescent="0.2">
      <c r="A5" s="190" t="s">
        <v>133</v>
      </c>
      <c r="B5" s="188"/>
      <c r="C5" s="188"/>
      <c r="D5" s="188"/>
      <c r="E5" s="188"/>
      <c r="F5" s="188"/>
    </row>
    <row r="6" spans="1:9" x14ac:dyDescent="0.2">
      <c r="A6" s="256"/>
      <c r="B6" s="256"/>
      <c r="C6" s="256"/>
      <c r="D6" s="256"/>
      <c r="E6" s="256"/>
      <c r="F6" s="256"/>
    </row>
    <row r="7" spans="1:9" x14ac:dyDescent="0.2">
      <c r="A7" s="191" t="s">
        <v>134</v>
      </c>
      <c r="B7" s="191"/>
      <c r="C7" s="191"/>
      <c r="D7" s="191"/>
      <c r="E7" s="191"/>
      <c r="F7" s="191"/>
    </row>
    <row r="8" spans="1:9" x14ac:dyDescent="0.2">
      <c r="A8" s="191" t="s">
        <v>135</v>
      </c>
      <c r="B8" s="189"/>
      <c r="C8" s="189"/>
      <c r="D8" s="189"/>
      <c r="E8" s="189"/>
      <c r="F8" s="189"/>
    </row>
    <row r="9" spans="1:9" ht="12.75" customHeight="1" x14ac:dyDescent="0.2">
      <c r="A9" s="192" t="s">
        <v>170</v>
      </c>
      <c r="B9" s="193"/>
      <c r="C9" s="193"/>
      <c r="D9" s="193"/>
      <c r="E9" s="193"/>
      <c r="F9" s="193"/>
    </row>
    <row r="10" spans="1:9" x14ac:dyDescent="0.2">
      <c r="A10" s="192" t="s">
        <v>171</v>
      </c>
      <c r="B10" s="193"/>
      <c r="C10" s="193"/>
      <c r="D10" s="193"/>
      <c r="E10" s="193"/>
      <c r="F10" s="193"/>
    </row>
    <row r="11" spans="1:9" x14ac:dyDescent="0.2">
      <c r="A11" s="192" t="s">
        <v>172</v>
      </c>
      <c r="B11" s="193"/>
      <c r="C11" s="193"/>
      <c r="D11" s="193"/>
      <c r="E11" s="193"/>
      <c r="F11" s="193"/>
    </row>
    <row r="12" spans="1:9" x14ac:dyDescent="0.2">
      <c r="A12" s="192" t="s">
        <v>173</v>
      </c>
      <c r="B12" s="193"/>
      <c r="C12" s="193"/>
      <c r="D12" s="193"/>
      <c r="E12" s="193"/>
      <c r="F12" s="193"/>
    </row>
    <row r="15" spans="1:9" ht="30" x14ac:dyDescent="0.25">
      <c r="A15" s="170" t="str">
        <f>'NON-GAAP Sales'!A18</f>
        <v>Quarter ended June 30, 2019</v>
      </c>
      <c r="B15" s="171" t="s">
        <v>84</v>
      </c>
      <c r="C15" s="172" t="s">
        <v>89</v>
      </c>
      <c r="D15" s="172" t="s">
        <v>90</v>
      </c>
      <c r="E15" s="172" t="s">
        <v>115</v>
      </c>
      <c r="F15" s="173" t="s">
        <v>116</v>
      </c>
    </row>
    <row r="16" spans="1:9" x14ac:dyDescent="0.2">
      <c r="A16" s="168" t="s">
        <v>13</v>
      </c>
      <c r="B16" s="174"/>
      <c r="C16" s="175"/>
      <c r="D16" s="175"/>
      <c r="E16" s="175"/>
      <c r="F16" s="175"/>
    </row>
    <row r="17" spans="1:6" ht="25.5" x14ac:dyDescent="0.2">
      <c r="A17" s="168" t="s">
        <v>174</v>
      </c>
      <c r="B17" s="179">
        <v>195948</v>
      </c>
      <c r="C17" s="179">
        <v>159419</v>
      </c>
      <c r="D17" s="179">
        <v>88749</v>
      </c>
      <c r="E17" s="179">
        <v>6972</v>
      </c>
      <c r="F17" s="179">
        <f>SUM(B17:E17)</f>
        <v>451088</v>
      </c>
    </row>
    <row r="18" spans="1:6" ht="25.5" x14ac:dyDescent="0.2">
      <c r="A18" s="168" t="s">
        <v>124</v>
      </c>
      <c r="B18" s="179"/>
      <c r="C18" s="179"/>
      <c r="D18" s="179"/>
      <c r="E18" s="179"/>
      <c r="F18" s="179"/>
    </row>
    <row r="19" spans="1:6" ht="25.5" x14ac:dyDescent="0.2">
      <c r="A19" s="177" t="s">
        <v>125</v>
      </c>
      <c r="B19" s="222">
        <v>-612</v>
      </c>
      <c r="C19" s="206">
        <v>0</v>
      </c>
      <c r="D19" s="206">
        <v>0</v>
      </c>
      <c r="E19" s="206">
        <v>0</v>
      </c>
      <c r="F19" s="222">
        <f>SUM(B19:E19)</f>
        <v>-612</v>
      </c>
    </row>
    <row r="20" spans="1:6" x14ac:dyDescent="0.2">
      <c r="A20" s="177" t="s">
        <v>120</v>
      </c>
      <c r="B20" s="222">
        <f>'NON-GAAP Sales'!B24</f>
        <v>2924</v>
      </c>
      <c r="C20" s="222">
        <f>'NON-GAAP Sales'!C24</f>
        <v>41963</v>
      </c>
      <c r="D20" s="222">
        <f>'NON-GAAP Sales'!D24</f>
        <v>24339</v>
      </c>
      <c r="E20" s="222">
        <f>'NON-GAAP Sales'!E24</f>
        <v>0</v>
      </c>
      <c r="F20" s="222">
        <f t="shared" ref="F20:F22" si="0">SUM(B20:E20)</f>
        <v>69226</v>
      </c>
    </row>
    <row r="21" spans="1:6" ht="25.5" x14ac:dyDescent="0.2">
      <c r="A21" s="177" t="s">
        <v>126</v>
      </c>
      <c r="B21" s="222">
        <v>0</v>
      </c>
      <c r="C21" s="206">
        <v>0</v>
      </c>
      <c r="D21" s="206">
        <v>0</v>
      </c>
      <c r="E21" s="206">
        <v>4580</v>
      </c>
      <c r="F21" s="222">
        <f t="shared" si="0"/>
        <v>4580</v>
      </c>
    </row>
    <row r="22" spans="1:6" x14ac:dyDescent="0.2">
      <c r="A22" s="177" t="s">
        <v>127</v>
      </c>
      <c r="B22" s="222">
        <v>0</v>
      </c>
      <c r="C22" s="206">
        <v>0</v>
      </c>
      <c r="D22" s="206">
        <v>0</v>
      </c>
      <c r="E22" s="222">
        <v>2392</v>
      </c>
      <c r="F22" s="222">
        <f t="shared" si="0"/>
        <v>2392</v>
      </c>
    </row>
    <row r="23" spans="1:6" ht="13.5" thickBot="1" x14ac:dyDescent="0.25">
      <c r="A23" s="168" t="s">
        <v>128</v>
      </c>
      <c r="B23" s="209">
        <f>B17-SUM(B19:B22)</f>
        <v>193636</v>
      </c>
      <c r="C23" s="209">
        <f t="shared" ref="C23" si="1">C17-SUM(C19:C22)</f>
        <v>117456</v>
      </c>
      <c r="D23" s="209">
        <f t="shared" ref="D23" si="2">D17-SUM(D19:D22)</f>
        <v>64410</v>
      </c>
      <c r="E23" s="209">
        <f t="shared" ref="E23" si="3">E17-SUM(E19:E22)</f>
        <v>0</v>
      </c>
      <c r="F23" s="209">
        <f t="shared" ref="F23" si="4">F17-SUM(F19:F22)</f>
        <v>375502</v>
      </c>
    </row>
    <row r="24" spans="1:6" ht="13.5" thickTop="1" x14ac:dyDescent="0.2">
      <c r="A24" s="168" t="s">
        <v>122</v>
      </c>
      <c r="B24" s="222">
        <f>'NON-GAAP Sales'!B26</f>
        <v>17148.689400000003</v>
      </c>
      <c r="C24" s="222">
        <f>'NON-GAAP Sales'!C26</f>
        <v>1892.4072699999999</v>
      </c>
      <c r="D24" s="222">
        <f>'NON-GAAP Sales'!D26</f>
        <v>1915.9776499999998</v>
      </c>
      <c r="E24" s="179"/>
      <c r="F24" s="179"/>
    </row>
    <row r="25" spans="1:6" x14ac:dyDescent="0.2">
      <c r="A25" s="168" t="s">
        <v>129</v>
      </c>
      <c r="B25" s="208">
        <f>B23/B24</f>
        <v>11.291591764441192</v>
      </c>
      <c r="C25" s="208">
        <f>C23/C24</f>
        <v>62.066977791730849</v>
      </c>
      <c r="D25" s="208">
        <f>D23/D24</f>
        <v>33.617302373020898</v>
      </c>
      <c r="E25" s="179"/>
      <c r="F25" s="179"/>
    </row>
    <row r="26" spans="1:6" x14ac:dyDescent="0.2">
      <c r="A26" s="168"/>
      <c r="B26" s="176"/>
      <c r="C26" s="176"/>
      <c r="D26" s="176"/>
      <c r="E26" s="176"/>
      <c r="F26" s="176"/>
    </row>
    <row r="27" spans="1:6" ht="15" x14ac:dyDescent="0.25">
      <c r="A27" s="184"/>
      <c r="B27" s="185"/>
      <c r="C27" s="186"/>
      <c r="D27" s="185"/>
      <c r="E27" s="187"/>
      <c r="F27" s="186"/>
    </row>
    <row r="28" spans="1:6" ht="30" x14ac:dyDescent="0.25">
      <c r="A28" s="170" t="str">
        <f>'NON-GAAP Sales'!A30</f>
        <v>Quarter ended March 31, 2019</v>
      </c>
      <c r="B28" s="171" t="s">
        <v>84</v>
      </c>
      <c r="C28" s="172" t="s">
        <v>89</v>
      </c>
      <c r="D28" s="172" t="s">
        <v>90</v>
      </c>
      <c r="E28" s="172" t="s">
        <v>115</v>
      </c>
      <c r="F28" s="173" t="s">
        <v>116</v>
      </c>
    </row>
    <row r="29" spans="1:6" x14ac:dyDescent="0.2">
      <c r="A29" s="168" t="s">
        <v>13</v>
      </c>
      <c r="B29" s="174"/>
      <c r="C29" s="175"/>
      <c r="D29" s="175"/>
      <c r="E29" s="175"/>
      <c r="F29" s="175"/>
    </row>
    <row r="30" spans="1:6" ht="25.5" x14ac:dyDescent="0.2">
      <c r="A30" s="168" t="s">
        <v>174</v>
      </c>
      <c r="B30" s="179">
        <v>191647</v>
      </c>
      <c r="C30" s="179">
        <v>161911</v>
      </c>
      <c r="D30" s="179">
        <v>78366</v>
      </c>
      <c r="E30" s="179">
        <v>6546</v>
      </c>
      <c r="F30" s="179">
        <f>SUM(B30:E30)</f>
        <v>438470</v>
      </c>
    </row>
    <row r="31" spans="1:6" ht="25.5" x14ac:dyDescent="0.2">
      <c r="A31" s="168" t="s">
        <v>124</v>
      </c>
      <c r="B31" s="179"/>
      <c r="C31" s="179"/>
      <c r="D31" s="179"/>
      <c r="E31" s="179"/>
      <c r="F31" s="179"/>
    </row>
    <row r="32" spans="1:6" ht="25.5" x14ac:dyDescent="0.2">
      <c r="A32" s="177" t="s">
        <v>125</v>
      </c>
      <c r="B32" s="222">
        <v>-638</v>
      </c>
      <c r="C32" s="206">
        <v>0</v>
      </c>
      <c r="D32" s="206">
        <v>0</v>
      </c>
      <c r="E32" s="206">
        <v>0</v>
      </c>
      <c r="F32" s="205">
        <f>SUM(B32:E32)</f>
        <v>-638</v>
      </c>
    </row>
    <row r="33" spans="1:6" x14ac:dyDescent="0.2">
      <c r="A33" s="177" t="s">
        <v>120</v>
      </c>
      <c r="B33" s="223">
        <f>'NON-GAAP Sales'!B36</f>
        <v>4006</v>
      </c>
      <c r="C33" s="223">
        <f>'NON-GAAP Sales'!C36</f>
        <v>41298</v>
      </c>
      <c r="D33" s="223">
        <f>'NON-GAAP Sales'!D36</f>
        <v>18882</v>
      </c>
      <c r="E33" s="223">
        <f>'NON-GAAP Sales'!E36</f>
        <v>0</v>
      </c>
      <c r="F33" s="205">
        <f t="shared" ref="F33:F35" si="5">SUM(B33:E33)</f>
        <v>64186</v>
      </c>
    </row>
    <row r="34" spans="1:6" ht="25.5" x14ac:dyDescent="0.2">
      <c r="A34" s="177" t="s">
        <v>126</v>
      </c>
      <c r="B34" s="222">
        <v>0</v>
      </c>
      <c r="C34" s="206">
        <v>0</v>
      </c>
      <c r="D34" s="206">
        <v>0</v>
      </c>
      <c r="E34" s="206">
        <v>4239</v>
      </c>
      <c r="F34" s="205">
        <f t="shared" si="5"/>
        <v>4239</v>
      </c>
    </row>
    <row r="35" spans="1:6" x14ac:dyDescent="0.2">
      <c r="A35" s="177" t="s">
        <v>127</v>
      </c>
      <c r="B35" s="222">
        <v>0</v>
      </c>
      <c r="C35" s="206">
        <v>0</v>
      </c>
      <c r="D35" s="206">
        <v>0</v>
      </c>
      <c r="E35" s="222">
        <v>2307</v>
      </c>
      <c r="F35" s="205">
        <f t="shared" si="5"/>
        <v>2307</v>
      </c>
    </row>
    <row r="36" spans="1:6" ht="13.5" thickBot="1" x14ac:dyDescent="0.25">
      <c r="A36" s="168" t="s">
        <v>128</v>
      </c>
      <c r="B36" s="209">
        <f>B30-SUM(B32:B35)</f>
        <v>188279</v>
      </c>
      <c r="C36" s="209">
        <f t="shared" ref="C36:F36" si="6">C30-SUM(C32:C35)</f>
        <v>120613</v>
      </c>
      <c r="D36" s="209">
        <f t="shared" si="6"/>
        <v>59484</v>
      </c>
      <c r="E36" s="209">
        <f t="shared" si="6"/>
        <v>0</v>
      </c>
      <c r="F36" s="209">
        <f t="shared" si="6"/>
        <v>368376</v>
      </c>
    </row>
    <row r="37" spans="1:6" ht="13.5" thickTop="1" x14ac:dyDescent="0.2">
      <c r="A37" s="168" t="s">
        <v>122</v>
      </c>
      <c r="B37" s="223">
        <f>'NON-GAAP Sales'!B38</f>
        <v>17140.617699999999</v>
      </c>
      <c r="C37" s="223">
        <f>'NON-GAAP Sales'!C38</f>
        <v>1793.0084100000001</v>
      </c>
      <c r="D37" s="223">
        <f>'NON-GAAP Sales'!D38</f>
        <v>1686.1931400000001</v>
      </c>
      <c r="E37" s="179"/>
      <c r="F37" s="179"/>
    </row>
    <row r="38" spans="1:6" x14ac:dyDescent="0.2">
      <c r="A38" s="168" t="s">
        <v>129</v>
      </c>
      <c r="B38" s="208">
        <f>B36/B37</f>
        <v>10.984376601550364</v>
      </c>
      <c r="C38" s="208">
        <f>C36/C37</f>
        <v>67.268507680898153</v>
      </c>
      <c r="D38" s="208">
        <f>D36/D37</f>
        <v>35.277097616468772</v>
      </c>
      <c r="E38" s="179"/>
      <c r="F38" s="179"/>
    </row>
    <row r="39" spans="1:6" x14ac:dyDescent="0.2">
      <c r="A39" s="168"/>
      <c r="B39" s="174"/>
      <c r="C39" s="175"/>
      <c r="D39" s="175"/>
      <c r="E39" s="175"/>
      <c r="F39" s="175"/>
    </row>
    <row r="40" spans="1:6" ht="15" x14ac:dyDescent="0.25">
      <c r="A40" s="184"/>
      <c r="B40" s="185"/>
      <c r="C40" s="186"/>
      <c r="D40" s="187"/>
      <c r="E40" s="187"/>
      <c r="F40" s="186"/>
    </row>
    <row r="41" spans="1:6" ht="30" x14ac:dyDescent="0.25">
      <c r="A41" s="170" t="str">
        <f>'NON-GAAP Sales'!A42</f>
        <v>Quarter ended June 30, 2018</v>
      </c>
      <c r="B41" s="171" t="s">
        <v>84</v>
      </c>
      <c r="C41" s="172" t="s">
        <v>89</v>
      </c>
      <c r="D41" s="172" t="s">
        <v>90</v>
      </c>
      <c r="E41" s="172" t="s">
        <v>115</v>
      </c>
      <c r="F41" s="173" t="s">
        <v>116</v>
      </c>
    </row>
    <row r="42" spans="1:6" x14ac:dyDescent="0.2">
      <c r="A42" s="168" t="s">
        <v>13</v>
      </c>
      <c r="B42" s="174"/>
      <c r="C42" s="175"/>
      <c r="D42" s="175"/>
      <c r="E42" s="175"/>
      <c r="F42" s="175"/>
    </row>
    <row r="43" spans="1:6" ht="25.5" x14ac:dyDescent="0.2">
      <c r="A43" s="228" t="s">
        <v>174</v>
      </c>
      <c r="B43" s="176">
        <v>205532</v>
      </c>
      <c r="C43" s="176">
        <v>172548</v>
      </c>
      <c r="D43" s="176">
        <v>86800</v>
      </c>
      <c r="E43" s="176">
        <v>9508</v>
      </c>
      <c r="F43" s="179">
        <f>SUM(B43:E43)</f>
        <v>474388</v>
      </c>
    </row>
    <row r="44" spans="1:6" ht="25.5" x14ac:dyDescent="0.2">
      <c r="A44" s="228" t="s">
        <v>124</v>
      </c>
      <c r="B44" s="176"/>
      <c r="C44" s="176"/>
      <c r="D44" s="176"/>
      <c r="E44" s="176"/>
      <c r="F44" s="179"/>
    </row>
    <row r="45" spans="1:6" ht="25.5" x14ac:dyDescent="0.2">
      <c r="A45" s="177" t="s">
        <v>125</v>
      </c>
      <c r="B45" s="223">
        <v>1968</v>
      </c>
      <c r="C45" s="238">
        <v>0</v>
      </c>
      <c r="D45" s="238">
        <v>0</v>
      </c>
      <c r="E45" s="238">
        <v>0</v>
      </c>
      <c r="F45" s="222">
        <f>SUM(B45:E45)</f>
        <v>1968</v>
      </c>
    </row>
    <row r="46" spans="1:6" x14ac:dyDescent="0.2">
      <c r="A46" s="177" t="s">
        <v>120</v>
      </c>
      <c r="B46" s="222">
        <f>'NON-GAAP Sales'!B48</f>
        <v>3176</v>
      </c>
      <c r="C46" s="222">
        <f>'NON-GAAP Sales'!C48</f>
        <v>49308</v>
      </c>
      <c r="D46" s="222">
        <f>'NON-GAAP Sales'!D48</f>
        <v>23281</v>
      </c>
      <c r="E46" s="222">
        <f>'NON-GAAP Sales'!E48</f>
        <v>0</v>
      </c>
      <c r="F46" s="222">
        <f t="shared" ref="F46:F48" si="7">SUM(B46:E46)</f>
        <v>75765</v>
      </c>
    </row>
    <row r="47" spans="1:6" ht="25.5" x14ac:dyDescent="0.2">
      <c r="A47" s="177" t="s">
        <v>126</v>
      </c>
      <c r="B47" s="222">
        <v>0</v>
      </c>
      <c r="C47" s="206">
        <v>0</v>
      </c>
      <c r="D47" s="206">
        <v>0</v>
      </c>
      <c r="E47" s="238">
        <v>6731</v>
      </c>
      <c r="F47" s="222">
        <f t="shared" si="7"/>
        <v>6731</v>
      </c>
    </row>
    <row r="48" spans="1:6" x14ac:dyDescent="0.2">
      <c r="A48" s="177" t="s">
        <v>127</v>
      </c>
      <c r="B48" s="222">
        <v>0</v>
      </c>
      <c r="C48" s="206">
        <v>0</v>
      </c>
      <c r="D48" s="206">
        <v>0</v>
      </c>
      <c r="E48" s="223">
        <v>2777</v>
      </c>
      <c r="F48" s="222">
        <f t="shared" si="7"/>
        <v>2777</v>
      </c>
    </row>
    <row r="49" spans="1:6" ht="13.5" thickBot="1" x14ac:dyDescent="0.25">
      <c r="A49" s="228" t="s">
        <v>128</v>
      </c>
      <c r="B49" s="209">
        <f>B43-SUM(B45:B48)</f>
        <v>200388</v>
      </c>
      <c r="C49" s="209">
        <f t="shared" ref="C49" si="8">C43-SUM(C45:C48)</f>
        <v>123240</v>
      </c>
      <c r="D49" s="209">
        <f t="shared" ref="D49" si="9">D43-SUM(D45:D48)</f>
        <v>63519</v>
      </c>
      <c r="E49" s="209">
        <f t="shared" ref="E49" si="10">E43-SUM(E45:E48)</f>
        <v>0</v>
      </c>
      <c r="F49" s="209">
        <f t="shared" ref="F49" si="11">F43-SUM(F45:F48)</f>
        <v>387147</v>
      </c>
    </row>
    <row r="50" spans="1:6" ht="13.5" thickTop="1" x14ac:dyDescent="0.2">
      <c r="A50" s="228" t="s">
        <v>122</v>
      </c>
      <c r="B50" s="222">
        <f>'NON-GAAP Sales'!B50</f>
        <v>18791.742040000001</v>
      </c>
      <c r="C50" s="222">
        <f>'NON-GAAP Sales'!C50</f>
        <v>2009.3107199999999</v>
      </c>
      <c r="D50" s="222">
        <f>'NON-GAAP Sales'!D50</f>
        <v>2036.4883299999999</v>
      </c>
      <c r="E50" s="179"/>
      <c r="F50" s="179"/>
    </row>
    <row r="51" spans="1:6" x14ac:dyDescent="0.2">
      <c r="A51" s="228" t="s">
        <v>129</v>
      </c>
      <c r="B51" s="208">
        <f>B49/B50</f>
        <v>10.66362019941819</v>
      </c>
      <c r="C51" s="208">
        <f t="shared" ref="C51" si="12">C49/C50</f>
        <v>61.334465980453238</v>
      </c>
      <c r="D51" s="208">
        <f t="shared" ref="D51" si="13">D49/D50</f>
        <v>31.190456171187588</v>
      </c>
      <c r="E51" s="179"/>
      <c r="F51" s="179"/>
    </row>
    <row r="52" spans="1:6" x14ac:dyDescent="0.2">
      <c r="A52" s="168"/>
      <c r="B52" s="174"/>
      <c r="C52" s="175"/>
      <c r="D52" s="175"/>
      <c r="E52" s="175"/>
      <c r="F52" s="175"/>
    </row>
    <row r="53" spans="1:6" ht="15" x14ac:dyDescent="0.25">
      <c r="A53" s="184"/>
      <c r="B53" s="185"/>
      <c r="C53" s="186"/>
      <c r="D53" s="187"/>
      <c r="E53" s="187"/>
      <c r="F53" s="186"/>
    </row>
    <row r="54" spans="1:6" x14ac:dyDescent="0.2">
      <c r="A54" s="178"/>
      <c r="B54" s="178"/>
      <c r="C54" s="178"/>
      <c r="D54" s="178"/>
      <c r="E54" s="178"/>
      <c r="F54" s="178"/>
    </row>
    <row r="55" spans="1:6" x14ac:dyDescent="0.2">
      <c r="A55" s="178"/>
      <c r="B55" s="178"/>
      <c r="C55" s="178"/>
      <c r="D55" s="178"/>
      <c r="E55" s="178"/>
      <c r="F55" s="178"/>
    </row>
    <row r="56" spans="1:6" x14ac:dyDescent="0.2">
      <c r="A56" s="178"/>
      <c r="B56" s="178"/>
      <c r="C56" s="178"/>
      <c r="D56" s="178"/>
      <c r="E56" s="178"/>
      <c r="F56" s="178"/>
    </row>
    <row r="57" spans="1:6" x14ac:dyDescent="0.2">
      <c r="A57" s="178"/>
      <c r="B57" s="178"/>
      <c r="C57" s="178"/>
      <c r="D57" s="178"/>
      <c r="E57" s="178"/>
      <c r="F57" s="178"/>
    </row>
    <row r="58" spans="1:6" x14ac:dyDescent="0.2">
      <c r="A58" s="178"/>
      <c r="B58" s="178"/>
      <c r="C58" s="178"/>
      <c r="D58" s="178"/>
      <c r="E58" s="178"/>
      <c r="F58" s="178"/>
    </row>
    <row r="59" spans="1:6" x14ac:dyDescent="0.2">
      <c r="A59" s="178"/>
      <c r="B59" s="178"/>
      <c r="C59" s="178"/>
      <c r="D59" s="178"/>
      <c r="E59" s="178"/>
      <c r="F59" s="178"/>
    </row>
    <row r="60" spans="1:6" x14ac:dyDescent="0.2">
      <c r="A60" s="178"/>
      <c r="B60" s="178"/>
      <c r="C60" s="178"/>
      <c r="D60" s="178"/>
      <c r="E60" s="178"/>
      <c r="F60" s="178"/>
    </row>
    <row r="61" spans="1:6" x14ac:dyDescent="0.2">
      <c r="A61" s="178"/>
      <c r="B61" s="178"/>
      <c r="C61" s="178"/>
      <c r="D61" s="178"/>
      <c r="E61" s="178"/>
      <c r="F61" s="178"/>
    </row>
    <row r="62" spans="1:6" x14ac:dyDescent="0.2">
      <c r="A62" s="178"/>
      <c r="B62" s="178"/>
      <c r="C62" s="178"/>
      <c r="D62" s="178"/>
      <c r="E62" s="178"/>
      <c r="F62" s="178"/>
    </row>
    <row r="63" spans="1:6" x14ac:dyDescent="0.2">
      <c r="A63" s="178"/>
      <c r="B63" s="178"/>
      <c r="C63" s="178"/>
      <c r="D63" s="178"/>
      <c r="E63" s="178"/>
      <c r="F63" s="178"/>
    </row>
    <row r="64" spans="1:6" x14ac:dyDescent="0.2">
      <c r="A64" s="178"/>
      <c r="B64" s="178"/>
      <c r="C64" s="178"/>
      <c r="D64" s="178"/>
      <c r="E64" s="178"/>
      <c r="F64" s="178"/>
    </row>
    <row r="65" spans="1:6" x14ac:dyDescent="0.2">
      <c r="A65" s="178"/>
      <c r="B65" s="178"/>
      <c r="C65" s="178"/>
      <c r="D65" s="178"/>
      <c r="E65" s="178"/>
      <c r="F65" s="178"/>
    </row>
    <row r="66" spans="1:6" x14ac:dyDescent="0.2">
      <c r="A66" s="178"/>
      <c r="B66" s="178"/>
      <c r="C66" s="178"/>
      <c r="D66" s="178"/>
      <c r="E66" s="178"/>
      <c r="F66" s="178"/>
    </row>
    <row r="67" spans="1:6" x14ac:dyDescent="0.2">
      <c r="A67" s="178"/>
      <c r="B67" s="178"/>
      <c r="C67" s="178"/>
      <c r="D67" s="178"/>
      <c r="E67" s="178"/>
      <c r="F67" s="178"/>
    </row>
    <row r="68" spans="1:6" x14ac:dyDescent="0.2">
      <c r="A68" s="178"/>
      <c r="B68" s="178"/>
      <c r="C68" s="178"/>
      <c r="D68" s="178"/>
      <c r="E68" s="178"/>
      <c r="F68" s="178"/>
    </row>
    <row r="69" spans="1:6" x14ac:dyDescent="0.2">
      <c r="A69" s="178"/>
      <c r="B69" s="178"/>
      <c r="C69" s="178"/>
      <c r="D69" s="178"/>
      <c r="E69" s="178"/>
      <c r="F69" s="178"/>
    </row>
    <row r="70" spans="1:6" x14ac:dyDescent="0.2">
      <c r="A70" s="178"/>
      <c r="B70" s="178"/>
      <c r="C70" s="178"/>
      <c r="D70" s="178"/>
      <c r="E70" s="178"/>
      <c r="F70" s="178"/>
    </row>
    <row r="71" spans="1:6" x14ac:dyDescent="0.2">
      <c r="A71" s="178"/>
      <c r="B71" s="178"/>
      <c r="C71" s="178"/>
      <c r="D71" s="178"/>
      <c r="E71" s="178"/>
      <c r="F71" s="178"/>
    </row>
    <row r="72" spans="1:6" x14ac:dyDescent="0.2">
      <c r="A72" s="178"/>
      <c r="B72" s="178"/>
      <c r="C72" s="178"/>
      <c r="D72" s="178"/>
      <c r="E72" s="178"/>
      <c r="F72" s="178"/>
    </row>
    <row r="73" spans="1:6" x14ac:dyDescent="0.2">
      <c r="A73" s="178"/>
      <c r="B73" s="178"/>
      <c r="C73" s="178"/>
      <c r="D73" s="178"/>
      <c r="E73" s="178"/>
      <c r="F73" s="178"/>
    </row>
    <row r="74" spans="1:6" x14ac:dyDescent="0.2">
      <c r="A74" s="178"/>
      <c r="B74" s="178"/>
      <c r="C74" s="178"/>
      <c r="D74" s="178"/>
      <c r="E74" s="178"/>
      <c r="F74" s="178"/>
    </row>
    <row r="75" spans="1:6" x14ac:dyDescent="0.2">
      <c r="A75" s="178"/>
      <c r="B75" s="178"/>
      <c r="C75" s="178"/>
      <c r="D75" s="178"/>
      <c r="E75" s="178"/>
      <c r="F75" s="178"/>
    </row>
    <row r="76" spans="1:6" x14ac:dyDescent="0.2">
      <c r="A76" s="178"/>
      <c r="B76" s="178"/>
      <c r="C76" s="178"/>
      <c r="D76" s="178"/>
      <c r="E76" s="178"/>
      <c r="F76" s="178"/>
    </row>
    <row r="77" spans="1:6" x14ac:dyDescent="0.2">
      <c r="A77" s="178"/>
      <c r="B77" s="178"/>
      <c r="C77" s="178"/>
      <c r="D77" s="178"/>
      <c r="E77" s="178"/>
      <c r="F77" s="178"/>
    </row>
    <row r="78" spans="1:6" x14ac:dyDescent="0.2">
      <c r="A78" s="178"/>
      <c r="B78" s="178"/>
      <c r="C78" s="178"/>
      <c r="D78" s="178"/>
      <c r="E78" s="178"/>
      <c r="F78" s="178"/>
    </row>
    <row r="79" spans="1:6" x14ac:dyDescent="0.2">
      <c r="A79" s="178"/>
      <c r="B79" s="178"/>
      <c r="C79" s="178"/>
      <c r="D79" s="178"/>
      <c r="E79" s="178"/>
      <c r="F79" s="178"/>
    </row>
    <row r="80" spans="1:6" x14ac:dyDescent="0.2">
      <c r="A80" s="178"/>
      <c r="B80" s="178"/>
      <c r="C80" s="178"/>
      <c r="D80" s="178"/>
      <c r="E80" s="178"/>
      <c r="F80" s="178"/>
    </row>
    <row r="81" spans="1:6" x14ac:dyDescent="0.2">
      <c r="A81" s="178"/>
      <c r="B81" s="178"/>
      <c r="C81" s="178"/>
      <c r="D81" s="178"/>
      <c r="E81" s="178"/>
      <c r="F81" s="178"/>
    </row>
    <row r="82" spans="1:6" x14ac:dyDescent="0.2">
      <c r="A82" s="178"/>
      <c r="B82" s="178"/>
      <c r="C82" s="178"/>
      <c r="D82" s="178"/>
      <c r="E82" s="178"/>
      <c r="F82" s="178"/>
    </row>
    <row r="83" spans="1:6" x14ac:dyDescent="0.2">
      <c r="A83" s="178"/>
      <c r="B83" s="178"/>
      <c r="C83" s="178"/>
      <c r="D83" s="178"/>
      <c r="E83" s="178"/>
      <c r="F83" s="178"/>
    </row>
    <row r="84" spans="1:6" x14ac:dyDescent="0.2">
      <c r="A84" s="178"/>
      <c r="B84" s="178"/>
      <c r="C84" s="178"/>
      <c r="D84" s="178"/>
      <c r="E84" s="178"/>
      <c r="F84" s="178"/>
    </row>
    <row r="85" spans="1:6" x14ac:dyDescent="0.2">
      <c r="A85" s="178"/>
      <c r="B85" s="178"/>
      <c r="C85" s="178"/>
      <c r="D85" s="178"/>
      <c r="E85" s="178"/>
      <c r="F85" s="178"/>
    </row>
    <row r="86" spans="1:6" x14ac:dyDescent="0.2">
      <c r="A86" s="178"/>
      <c r="B86" s="178"/>
      <c r="C86" s="178"/>
      <c r="D86" s="178"/>
      <c r="E86" s="178"/>
      <c r="F86" s="178"/>
    </row>
    <row r="87" spans="1:6" x14ac:dyDescent="0.2">
      <c r="A87" s="178"/>
      <c r="B87" s="178"/>
      <c r="C87" s="178"/>
      <c r="D87" s="178"/>
      <c r="E87" s="178"/>
      <c r="F87" s="178"/>
    </row>
    <row r="88" spans="1:6" x14ac:dyDescent="0.2">
      <c r="A88" s="178"/>
      <c r="B88" s="178"/>
      <c r="C88" s="178"/>
      <c r="D88" s="178"/>
      <c r="E88" s="178"/>
      <c r="F88" s="178"/>
    </row>
    <row r="89" spans="1:6" x14ac:dyDescent="0.2">
      <c r="A89" s="178"/>
      <c r="B89" s="178"/>
      <c r="C89" s="178"/>
      <c r="D89" s="178"/>
      <c r="E89" s="178"/>
      <c r="F89" s="178"/>
    </row>
    <row r="90" spans="1:6" x14ac:dyDescent="0.2">
      <c r="A90" s="178"/>
      <c r="B90" s="178"/>
      <c r="C90" s="178"/>
      <c r="D90" s="178"/>
      <c r="E90" s="178"/>
      <c r="F90" s="178"/>
    </row>
    <row r="91" spans="1:6" x14ac:dyDescent="0.2">
      <c r="A91" s="178"/>
      <c r="B91" s="178"/>
      <c r="C91" s="178"/>
      <c r="D91" s="178"/>
      <c r="E91" s="178"/>
      <c r="F91" s="178"/>
    </row>
    <row r="92" spans="1:6" x14ac:dyDescent="0.2">
      <c r="A92" s="178"/>
      <c r="B92" s="178"/>
      <c r="C92" s="178"/>
      <c r="D92" s="178"/>
      <c r="E92" s="178"/>
      <c r="F92" s="178"/>
    </row>
    <row r="93" spans="1:6" x14ac:dyDescent="0.2">
      <c r="A93" s="178"/>
      <c r="B93" s="178"/>
      <c r="C93" s="178"/>
      <c r="D93" s="178"/>
      <c r="E93" s="178"/>
      <c r="F93" s="178"/>
    </row>
    <row r="94" spans="1:6" x14ac:dyDescent="0.2">
      <c r="A94" s="178"/>
      <c r="B94" s="178"/>
      <c r="C94" s="178"/>
      <c r="D94" s="178"/>
      <c r="E94" s="178"/>
      <c r="F94" s="178"/>
    </row>
    <row r="95" spans="1:6" x14ac:dyDescent="0.2">
      <c r="A95" s="178"/>
      <c r="B95" s="178"/>
      <c r="C95" s="178"/>
      <c r="D95" s="178"/>
      <c r="E95" s="178"/>
      <c r="F95" s="178"/>
    </row>
    <row r="96" spans="1:6" x14ac:dyDescent="0.2">
      <c r="A96" s="178"/>
      <c r="B96" s="178"/>
      <c r="C96" s="178"/>
      <c r="D96" s="178"/>
      <c r="E96" s="178"/>
      <c r="F96" s="178"/>
    </row>
    <row r="97" spans="1:6" x14ac:dyDescent="0.2">
      <c r="A97" s="178"/>
      <c r="B97" s="178"/>
      <c r="C97" s="178"/>
      <c r="D97" s="178"/>
      <c r="E97" s="178"/>
      <c r="F97" s="178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7"/>
  <sheetViews>
    <sheetView zoomScaleNormal="100" workbookViewId="0">
      <selection activeCell="I18" sqref="I18"/>
    </sheetView>
  </sheetViews>
  <sheetFormatPr defaultColWidth="21.5" defaultRowHeight="13.5" customHeight="1" x14ac:dyDescent="0.2"/>
  <cols>
    <col min="1" max="1" width="75.83203125" style="1" customWidth="1"/>
    <col min="2" max="3" width="17.83203125" style="1" customWidth="1"/>
    <col min="4" max="4" width="1" style="1" customWidth="1"/>
    <col min="5" max="6" width="17.83203125" style="1" customWidth="1"/>
    <col min="7" max="16384" width="21.5" style="1"/>
  </cols>
  <sheetData>
    <row r="1" spans="1:7" ht="13.5" customHeight="1" x14ac:dyDescent="0.25">
      <c r="A1" s="243" t="s">
        <v>0</v>
      </c>
      <c r="B1" s="248"/>
      <c r="C1" s="259"/>
      <c r="D1" s="259"/>
      <c r="E1" s="247"/>
      <c r="F1" s="247"/>
      <c r="G1" s="3"/>
    </row>
    <row r="2" spans="1:7" ht="13.5" customHeight="1" x14ac:dyDescent="0.25">
      <c r="A2" s="243" t="s">
        <v>44</v>
      </c>
      <c r="B2" s="248"/>
      <c r="C2" s="259"/>
      <c r="D2" s="259"/>
      <c r="E2" s="259"/>
      <c r="F2" s="248"/>
      <c r="G2" s="3"/>
    </row>
    <row r="3" spans="1:7" ht="13.5" customHeight="1" x14ac:dyDescent="0.25">
      <c r="A3" s="243" t="s">
        <v>13</v>
      </c>
      <c r="B3" s="248"/>
      <c r="C3" s="259"/>
      <c r="D3" s="259"/>
      <c r="E3" s="259"/>
      <c r="F3" s="248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4" t="s">
        <v>145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251" t="s">
        <v>146</v>
      </c>
      <c r="B7" s="248"/>
      <c r="C7" s="248"/>
      <c r="D7" s="248"/>
      <c r="E7" s="248"/>
      <c r="F7" s="248"/>
      <c r="G7" s="3"/>
    </row>
    <row r="8" spans="1:7" ht="13.5" customHeight="1" x14ac:dyDescent="0.2">
      <c r="A8" s="251" t="s">
        <v>147</v>
      </c>
      <c r="B8" s="248"/>
      <c r="C8" s="248"/>
      <c r="D8" s="248"/>
      <c r="E8" s="248"/>
      <c r="F8" s="248"/>
      <c r="G8" s="3"/>
    </row>
    <row r="9" spans="1:7" ht="13.5" customHeight="1" x14ac:dyDescent="0.2">
      <c r="A9" s="244" t="s">
        <v>148</v>
      </c>
      <c r="B9" s="260"/>
      <c r="C9" s="260"/>
      <c r="D9" s="260"/>
      <c r="E9" s="260"/>
      <c r="F9" s="260"/>
      <c r="G9" s="3"/>
    </row>
    <row r="10" spans="1:7" s="150" customFormat="1" ht="13.5" customHeight="1" x14ac:dyDescent="0.2">
      <c r="A10" s="147" t="s">
        <v>108</v>
      </c>
      <c r="B10" s="148"/>
      <c r="C10" s="148"/>
      <c r="D10" s="148"/>
      <c r="E10" s="148"/>
      <c r="F10" s="148"/>
      <c r="G10" s="149"/>
    </row>
    <row r="11" spans="1:7" ht="13.5" customHeight="1" x14ac:dyDescent="0.2">
      <c r="A11" s="248"/>
      <c r="B11" s="248"/>
      <c r="C11" s="248"/>
      <c r="D11" s="248"/>
      <c r="E11" s="248"/>
      <c r="F11" s="248"/>
      <c r="G11" s="3"/>
    </row>
    <row r="12" spans="1:7" ht="13.5" customHeight="1" x14ac:dyDescent="0.2">
      <c r="A12" s="251" t="s">
        <v>149</v>
      </c>
      <c r="B12" s="248"/>
      <c r="C12" s="248"/>
      <c r="D12" s="248"/>
      <c r="E12" s="248"/>
      <c r="F12" s="248"/>
      <c r="G12" s="3"/>
    </row>
    <row r="13" spans="1:7" ht="13.5" customHeight="1" x14ac:dyDescent="0.2">
      <c r="A13" s="251" t="s">
        <v>150</v>
      </c>
      <c r="B13" s="248"/>
      <c r="C13" s="248"/>
      <c r="D13" s="248"/>
      <c r="E13" s="248"/>
      <c r="F13" s="248"/>
      <c r="G13" s="3"/>
    </row>
    <row r="14" spans="1:7" ht="13.5" customHeight="1" x14ac:dyDescent="0.2">
      <c r="A14" s="251" t="s">
        <v>81</v>
      </c>
      <c r="B14" s="248"/>
      <c r="C14" s="248"/>
      <c r="D14" s="248"/>
      <c r="E14" s="248"/>
      <c r="F14" s="248"/>
      <c r="G14" s="3"/>
    </row>
    <row r="15" spans="1:7" ht="13.5" customHeight="1" x14ac:dyDescent="0.2">
      <c r="A15" s="251" t="s">
        <v>151</v>
      </c>
      <c r="B15" s="248"/>
      <c r="C15" s="248"/>
      <c r="D15" s="248"/>
      <c r="E15" s="248"/>
      <c r="F15" s="248"/>
      <c r="G15" s="3"/>
    </row>
    <row r="16" spans="1:7" ht="13.5" customHeight="1" x14ac:dyDescent="0.2">
      <c r="A16" s="251" t="s">
        <v>98</v>
      </c>
      <c r="B16" s="248"/>
      <c r="C16" s="248"/>
      <c r="D16" s="248"/>
      <c r="E16" s="248"/>
      <c r="F16" s="248"/>
      <c r="G16" s="3"/>
    </row>
    <row r="17" spans="1:8" ht="13.5" customHeight="1" x14ac:dyDescent="0.2">
      <c r="A17" s="251" t="s">
        <v>152</v>
      </c>
      <c r="B17" s="248"/>
      <c r="C17" s="248"/>
      <c r="D17" s="248"/>
      <c r="E17" s="248"/>
      <c r="F17" s="248"/>
      <c r="G17" s="3"/>
    </row>
    <row r="18" spans="1:8" ht="13.5" customHeight="1" x14ac:dyDescent="0.2">
      <c r="A18" s="251" t="s">
        <v>153</v>
      </c>
      <c r="B18" s="248"/>
      <c r="C18" s="248"/>
      <c r="D18" s="248"/>
      <c r="E18" s="248"/>
      <c r="F18" s="248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245" t="s">
        <v>181</v>
      </c>
      <c r="C20" s="245"/>
      <c r="D20" s="162"/>
      <c r="E20" s="245" t="s">
        <v>185</v>
      </c>
      <c r="F20" s="245"/>
      <c r="G20" s="3"/>
    </row>
    <row r="21" spans="1:8" ht="12.75" x14ac:dyDescent="0.2">
      <c r="A21" s="3"/>
      <c r="B21" s="108">
        <v>2019</v>
      </c>
      <c r="C21" s="159">
        <v>2018</v>
      </c>
      <c r="D21" s="28"/>
      <c r="E21" s="216">
        <v>2019</v>
      </c>
      <c r="F21" s="159">
        <v>2018</v>
      </c>
      <c r="G21" s="16"/>
      <c r="H21" s="160"/>
    </row>
    <row r="22" spans="1:8" ht="13.5" customHeight="1" x14ac:dyDescent="0.2">
      <c r="A22" s="3"/>
      <c r="B22" s="246" t="s">
        <v>2</v>
      </c>
      <c r="C22" s="246"/>
      <c r="D22" s="230"/>
      <c r="E22" s="246" t="s">
        <v>2</v>
      </c>
      <c r="F22" s="246"/>
      <c r="G22" s="103"/>
      <c r="H22" s="103"/>
    </row>
    <row r="23" spans="1:8" ht="13.5" customHeight="1" x14ac:dyDescent="0.2">
      <c r="A23" s="8" t="s">
        <v>109</v>
      </c>
      <c r="B23" s="106">
        <f>'Income Statement'!B42</f>
        <v>62840</v>
      </c>
      <c r="C23" s="106">
        <f>'Income Statement'!C42</f>
        <v>43306</v>
      </c>
      <c r="D23" s="109"/>
      <c r="E23" s="106">
        <f>'Income Statement'!E42</f>
        <v>135581</v>
      </c>
      <c r="F23" s="106">
        <f>'Income Statement'!F42</f>
        <v>103291</v>
      </c>
      <c r="G23" s="3"/>
    </row>
    <row r="24" spans="1:8" ht="13.5" customHeight="1" x14ac:dyDescent="0.2">
      <c r="A24" s="7" t="s">
        <v>179</v>
      </c>
      <c r="B24" s="86">
        <f>'Income Statement'!B40</f>
        <v>91</v>
      </c>
      <c r="C24" s="86">
        <f>'Income Statement'!C40</f>
        <v>-3366</v>
      </c>
      <c r="D24" s="101"/>
      <c r="E24" s="86">
        <f>'Income Statement'!E40</f>
        <v>161</v>
      </c>
      <c r="F24" s="86">
        <f>'Income Statement'!F40</f>
        <v>-3910</v>
      </c>
      <c r="G24" s="3"/>
    </row>
    <row r="25" spans="1:8" ht="13.5" customHeight="1" x14ac:dyDescent="0.2">
      <c r="A25" s="7" t="s">
        <v>8</v>
      </c>
      <c r="B25" s="86">
        <f>-'Income Statement'!B29</f>
        <v>2287</v>
      </c>
      <c r="C25" s="86">
        <f>-'Income Statement'!C29</f>
        <v>3498</v>
      </c>
      <c r="D25" s="86"/>
      <c r="E25" s="86">
        <f>-'Income Statement'!E29</f>
        <v>4576</v>
      </c>
      <c r="F25" s="86">
        <f>-'Income Statement'!F29</f>
        <v>7620</v>
      </c>
      <c r="G25" s="3"/>
    </row>
    <row r="26" spans="1:8" ht="13.5" customHeight="1" x14ac:dyDescent="0.2">
      <c r="A26" s="7" t="s">
        <v>5</v>
      </c>
      <c r="B26" s="86">
        <f>'Income Statement'!B14</f>
        <v>26524</v>
      </c>
      <c r="C26" s="86">
        <f>'Income Statement'!C14</f>
        <v>30549</v>
      </c>
      <c r="D26" s="101"/>
      <c r="E26" s="86">
        <f>'Income Statement'!E14</f>
        <v>51797</v>
      </c>
      <c r="F26" s="86">
        <f>'Income Statement'!F14</f>
        <v>60252</v>
      </c>
      <c r="G26" s="3"/>
    </row>
    <row r="27" spans="1:8" s="93" customFormat="1" ht="13.5" customHeight="1" x14ac:dyDescent="0.2">
      <c r="A27" s="7" t="s">
        <v>78</v>
      </c>
      <c r="B27" s="86">
        <f>'Income Statement'!B15</f>
        <v>5137</v>
      </c>
      <c r="C27" s="86">
        <f>'Income Statement'!C15</f>
        <v>6993</v>
      </c>
      <c r="D27" s="101"/>
      <c r="E27" s="86">
        <f>'Income Statement'!E15</f>
        <v>10274</v>
      </c>
      <c r="F27" s="86">
        <f>'Income Statement'!F15</f>
        <v>13985</v>
      </c>
      <c r="G27" s="79"/>
    </row>
    <row r="28" spans="1:8" ht="13.5" customHeight="1" x14ac:dyDescent="0.2">
      <c r="A28" s="7" t="s">
        <v>80</v>
      </c>
      <c r="B28" s="86">
        <f>'Income Statement'!B16</f>
        <v>11</v>
      </c>
      <c r="C28" s="86">
        <f>'Income Statement'!C16</f>
        <v>3248</v>
      </c>
      <c r="D28" s="101"/>
      <c r="E28" s="86">
        <f>'Income Statement'!E16</f>
        <v>76</v>
      </c>
      <c r="F28" s="86">
        <f>'Income Statement'!F16</f>
        <v>6299</v>
      </c>
      <c r="G28" s="3"/>
    </row>
    <row r="29" spans="1:8" s="235" customFormat="1" ht="13.5" customHeight="1" x14ac:dyDescent="0.2">
      <c r="A29" s="7" t="s">
        <v>192</v>
      </c>
      <c r="B29" s="86">
        <f>'Income Statement'!B19</f>
        <v>3018</v>
      </c>
      <c r="C29" s="86">
        <f>'Income Statement'!C19</f>
        <v>0</v>
      </c>
      <c r="D29" s="101"/>
      <c r="E29" s="86">
        <f>'Income Statement'!E19</f>
        <v>3018</v>
      </c>
      <c r="F29" s="86">
        <f>'Income Statement'!F19</f>
        <v>0</v>
      </c>
      <c r="G29" s="234"/>
    </row>
    <row r="30" spans="1:8" s="235" customFormat="1" ht="13.5" customHeight="1" x14ac:dyDescent="0.2">
      <c r="A30" s="7" t="s">
        <v>199</v>
      </c>
      <c r="B30" s="86">
        <f>'Income Statement'!B20</f>
        <v>4304</v>
      </c>
      <c r="C30" s="86">
        <f>'Income Statement'!C20</f>
        <v>0</v>
      </c>
      <c r="D30" s="101"/>
      <c r="E30" s="86">
        <f>'Income Statement'!E20</f>
        <v>4304</v>
      </c>
      <c r="F30" s="86">
        <f>'Income Statement'!F20</f>
        <v>0</v>
      </c>
      <c r="G30" s="234"/>
    </row>
    <row r="31" spans="1:8" s="204" customFormat="1" ht="13.5" customHeight="1" x14ac:dyDescent="0.2">
      <c r="A31" s="7" t="s">
        <v>143</v>
      </c>
      <c r="B31" s="86">
        <f>-'Income Statement'!B34</f>
        <v>1336</v>
      </c>
      <c r="C31" s="86">
        <f>-'Income Statement'!C34</f>
        <v>-68</v>
      </c>
      <c r="D31" s="101"/>
      <c r="E31" s="86">
        <f>-'Income Statement'!E34</f>
        <v>3102</v>
      </c>
      <c r="F31" s="86">
        <f>-'Income Statement'!F34</f>
        <v>1235</v>
      </c>
      <c r="G31" s="203"/>
    </row>
    <row r="32" spans="1:8" s="38" customFormat="1" ht="13.5" customHeight="1" x14ac:dyDescent="0.2">
      <c r="A32" s="104" t="s">
        <v>71</v>
      </c>
      <c r="B32" s="86">
        <f>-'Income Statement'!B35</f>
        <v>0</v>
      </c>
      <c r="C32" s="86">
        <f>-'Income Statement'!C35</f>
        <v>485</v>
      </c>
      <c r="D32" s="101"/>
      <c r="E32" s="86">
        <f>-'Income Statement'!E35</f>
        <v>0</v>
      </c>
      <c r="F32" s="86">
        <f>-'Income Statement'!F35</f>
        <v>485</v>
      </c>
      <c r="G32" s="37"/>
    </row>
    <row r="33" spans="1:7" s="75" customFormat="1" ht="13.5" customHeight="1" x14ac:dyDescent="0.2">
      <c r="A33" s="7" t="s">
        <v>72</v>
      </c>
      <c r="B33" s="60">
        <f>-'Income Statement'!B36</f>
        <v>16</v>
      </c>
      <c r="C33" s="60">
        <f>-'Income Statement'!C36</f>
        <v>740</v>
      </c>
      <c r="D33" s="101"/>
      <c r="E33" s="60">
        <f>-'Income Statement'!E36</f>
        <v>-71</v>
      </c>
      <c r="F33" s="60">
        <f>-'Income Statement'!F36</f>
        <v>1041</v>
      </c>
      <c r="G33" s="74"/>
    </row>
    <row r="34" spans="1:7" ht="13.5" customHeight="1" x14ac:dyDescent="0.2">
      <c r="A34" s="7"/>
      <c r="B34" s="155"/>
      <c r="C34" s="88"/>
      <c r="D34" s="90"/>
      <c r="E34" s="155"/>
      <c r="F34" s="88"/>
      <c r="G34" s="3"/>
    </row>
    <row r="35" spans="1:7" ht="13.5" customHeight="1" thickBot="1" x14ac:dyDescent="0.25">
      <c r="A35" s="8" t="s">
        <v>145</v>
      </c>
      <c r="B35" s="61">
        <f>SUM(B23:B34)</f>
        <v>105564</v>
      </c>
      <c r="C35" s="61">
        <f>SUM(C23:C34)</f>
        <v>85385</v>
      </c>
      <c r="D35" s="109"/>
      <c r="E35" s="61">
        <f>SUM(E23:E34)</f>
        <v>212818</v>
      </c>
      <c r="F35" s="61">
        <f>SUM(F23:F34)</f>
        <v>190298</v>
      </c>
      <c r="G35" s="9"/>
    </row>
    <row r="36" spans="1:7" ht="13.5" customHeight="1" thickTop="1" x14ac:dyDescent="0.2">
      <c r="A36" s="3"/>
      <c r="B36" s="158"/>
      <c r="C36" s="84"/>
      <c r="D36" s="90"/>
      <c r="E36" s="89"/>
      <c r="F36" s="90"/>
      <c r="G36" s="3"/>
    </row>
    <row r="37" spans="1:7" ht="13.5" customHeight="1" x14ac:dyDescent="0.2">
      <c r="E37" s="227"/>
    </row>
  </sheetData>
  <mergeCells count="18">
    <mergeCell ref="A1:F1"/>
    <mergeCell ref="A2:F2"/>
    <mergeCell ref="A3:F3"/>
    <mergeCell ref="A13:F13"/>
    <mergeCell ref="A7:F7"/>
    <mergeCell ref="A8:F8"/>
    <mergeCell ref="A9:F9"/>
    <mergeCell ref="A11:F11"/>
    <mergeCell ref="A12:F12"/>
    <mergeCell ref="A17:F17"/>
    <mergeCell ref="B20:C20"/>
    <mergeCell ref="E20:F20"/>
    <mergeCell ref="B22:C22"/>
    <mergeCell ref="A14:F14"/>
    <mergeCell ref="A15:F15"/>
    <mergeCell ref="A16:F16"/>
    <mergeCell ref="A18:F18"/>
    <mergeCell ref="E22:F2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Income Statement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'Income Statement'!Print_Area</vt:lpstr>
      <vt:lpstr>'Reconciliation page'!Print_Area</vt:lpstr>
      <vt:lpstr>'Statement of Cash Flows'!Print_Area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2019-04-10T17:47:32Z</cp:lastPrinted>
  <dcterms:created xsi:type="dcterms:W3CDTF">2015-01-20T16:57:13Z</dcterms:created>
  <dcterms:modified xsi:type="dcterms:W3CDTF">2019-07-23T19:07:03Z</dcterms:modified>
</cp:coreProperties>
</file>