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18\Q2-2018\Final\"/>
    </mc:Choice>
  </mc:AlternateContent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7">'Reconciliation page'!$A$5:$F$84</definedName>
    <definedName name="_xlnm.Print_Area" localSheetId="2">'Statement of Cash Flows'!$A$1:$C$60</definedName>
    <definedName name="_xlnm.Print_Area" localSheetId="0">'Statements of Operations'!$A$1:$F$54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B27" i="4" l="1"/>
  <c r="E49" i="9" l="1"/>
  <c r="D49" i="9"/>
  <c r="C49" i="9"/>
  <c r="B49" i="9"/>
  <c r="E37" i="9"/>
  <c r="D37" i="9"/>
  <c r="C37" i="9"/>
  <c r="B37" i="9"/>
  <c r="C25" i="9"/>
  <c r="D25" i="9"/>
  <c r="E25" i="9"/>
  <c r="B25" i="9"/>
  <c r="C46" i="10" l="1"/>
  <c r="D46" i="10"/>
  <c r="E46" i="10"/>
  <c r="B46" i="10"/>
  <c r="C33" i="10"/>
  <c r="D33" i="10"/>
  <c r="E33" i="10"/>
  <c r="B33" i="10"/>
  <c r="B26" i="4" l="1"/>
  <c r="B42" i="2"/>
  <c r="B33" i="2"/>
  <c r="B26" i="2"/>
  <c r="E20" i="10" l="1"/>
  <c r="C20" i="10"/>
  <c r="D20" i="10"/>
  <c r="B20" i="10"/>
  <c r="C50" i="10"/>
  <c r="D50" i="10"/>
  <c r="B50" i="10"/>
  <c r="C37" i="10"/>
  <c r="D37" i="10"/>
  <c r="B37" i="10"/>
  <c r="C24" i="10"/>
  <c r="D24" i="10"/>
  <c r="B24" i="10"/>
  <c r="F48" i="4" l="1"/>
  <c r="F47" i="4"/>
  <c r="F46" i="4"/>
  <c r="F45" i="4"/>
  <c r="F44" i="4"/>
  <c r="F43" i="4"/>
  <c r="F42" i="4"/>
  <c r="F49" i="4" s="1"/>
  <c r="F41" i="4"/>
  <c r="F40" i="4"/>
  <c r="F36" i="4"/>
  <c r="F35" i="4"/>
  <c r="F34" i="4"/>
  <c r="F33" i="4"/>
  <c r="F37" i="4" s="1"/>
  <c r="F32" i="4"/>
  <c r="F31" i="4"/>
  <c r="F27" i="4"/>
  <c r="F26" i="4"/>
  <c r="F25" i="4"/>
  <c r="F24" i="4"/>
  <c r="F23" i="4"/>
  <c r="F13" i="4"/>
  <c r="F14" i="4"/>
  <c r="F15" i="4"/>
  <c r="F16" i="4"/>
  <c r="F17" i="4"/>
  <c r="F18" i="4"/>
  <c r="F19" i="4"/>
  <c r="F20" i="4"/>
  <c r="F12" i="4"/>
  <c r="F60" i="4"/>
  <c r="E60" i="4"/>
  <c r="E52" i="4"/>
  <c r="E49" i="4"/>
  <c r="E37" i="4"/>
  <c r="E28" i="4"/>
  <c r="E51" i="4" l="1"/>
  <c r="E54" i="4" s="1"/>
  <c r="B14" i="4"/>
  <c r="B13" i="4"/>
  <c r="B12" i="4"/>
  <c r="B32" i="2"/>
  <c r="B19" i="2"/>
  <c r="I29" i="1"/>
  <c r="I27" i="1"/>
  <c r="H27" i="1"/>
  <c r="H29" i="1" s="1"/>
  <c r="H37" i="1" s="1"/>
  <c r="I37" i="1"/>
  <c r="I40" i="1" s="1"/>
  <c r="I38" i="1"/>
  <c r="I35" i="1"/>
  <c r="I33" i="1"/>
  <c r="I34" i="1"/>
  <c r="I32" i="1"/>
  <c r="I26" i="1"/>
  <c r="I25" i="1"/>
  <c r="I22" i="1"/>
  <c r="I14" i="1"/>
  <c r="I15" i="1"/>
  <c r="I16" i="1"/>
  <c r="I17" i="1"/>
  <c r="I18" i="1"/>
  <c r="I19" i="1"/>
  <c r="I20" i="1"/>
  <c r="I13" i="1"/>
  <c r="I10" i="1"/>
  <c r="H35" i="1"/>
  <c r="H20" i="1"/>
  <c r="H22" i="1"/>
  <c r="G13" i="1"/>
  <c r="G20" i="1" s="1"/>
  <c r="G22" i="1" s="1"/>
  <c r="G29" i="1" s="1"/>
  <c r="G37" i="1" s="1"/>
  <c r="G40" i="1" s="1"/>
  <c r="G35" i="1"/>
  <c r="G27" i="1"/>
  <c r="G19" i="1"/>
  <c r="H40" i="1" l="1"/>
  <c r="C14" i="4"/>
  <c r="C13" i="4"/>
  <c r="C12" i="4"/>
  <c r="C10" i="4"/>
  <c r="C19" i="1"/>
  <c r="C18" i="1"/>
  <c r="C13" i="1"/>
  <c r="F19" i="1"/>
  <c r="F18" i="1"/>
  <c r="F13" i="1"/>
  <c r="C32" i="1"/>
  <c r="F59" i="3" l="1"/>
  <c r="E59" i="3"/>
  <c r="F54" i="3"/>
  <c r="F52" i="3"/>
  <c r="F47" i="3"/>
  <c r="E47" i="3"/>
  <c r="E46" i="3"/>
  <c r="F31" i="3"/>
  <c r="E31" i="3"/>
  <c r="E54" i="3" s="1"/>
  <c r="F30" i="3"/>
  <c r="F53" i="3" s="1"/>
  <c r="E30" i="3"/>
  <c r="E53" i="3" s="1"/>
  <c r="F29" i="3"/>
  <c r="E29" i="3"/>
  <c r="E52" i="3" s="1"/>
  <c r="F28" i="3"/>
  <c r="F51" i="3" s="1"/>
  <c r="E28" i="3"/>
  <c r="E51" i="3" s="1"/>
  <c r="F27" i="3"/>
  <c r="E27" i="3"/>
  <c r="F26" i="3"/>
  <c r="E26" i="3"/>
  <c r="F24" i="3"/>
  <c r="E24" i="3"/>
  <c r="E55" i="3" l="1"/>
  <c r="F55" i="3"/>
  <c r="E35" i="1"/>
  <c r="F35" i="1"/>
  <c r="F27" i="1"/>
  <c r="F25" i="3" s="1"/>
  <c r="E27" i="1"/>
  <c r="E25" i="3" s="1"/>
  <c r="F20" i="1"/>
  <c r="F22" i="1" s="1"/>
  <c r="E20" i="1"/>
  <c r="E22" i="1" s="1"/>
  <c r="E29" i="1" l="1"/>
  <c r="E37" i="1" s="1"/>
  <c r="E40" i="1" s="1"/>
  <c r="F29" i="1"/>
  <c r="F37" i="1" s="1"/>
  <c r="F40" i="1" s="1"/>
  <c r="E44" i="1" l="1"/>
  <c r="E61" i="3" s="1"/>
  <c r="B10" i="4"/>
  <c r="F10" i="4" s="1"/>
  <c r="F28" i="4" s="1"/>
  <c r="F51" i="4" s="1"/>
  <c r="F54" i="4" s="1"/>
  <c r="F56" i="2"/>
  <c r="E43" i="1"/>
  <c r="E23" i="3"/>
  <c r="E49" i="3" s="1"/>
  <c r="E57" i="3" s="1"/>
  <c r="E68" i="3" s="1"/>
  <c r="F44" i="1"/>
  <c r="F61" i="3" s="1"/>
  <c r="F23" i="3"/>
  <c r="F43" i="1"/>
  <c r="B77" i="3"/>
  <c r="B78" i="3"/>
  <c r="C78" i="3"/>
  <c r="B81" i="3"/>
  <c r="C81" i="3"/>
  <c r="E33" i="3" l="1"/>
  <c r="E52" i="1" s="1"/>
  <c r="E53" i="1"/>
  <c r="F49" i="3"/>
  <c r="F57" i="3" s="1"/>
  <c r="F68" i="3" s="1"/>
  <c r="F33" i="3"/>
  <c r="F52" i="1" s="1"/>
  <c r="F53" i="1" l="1"/>
  <c r="B29" i="3" l="1"/>
  <c r="B52" i="3" s="1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49" i="9" s="1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37" i="9" l="1"/>
  <c r="F25" i="9"/>
  <c r="F49" i="10"/>
  <c r="F23" i="10"/>
  <c r="F36" i="10"/>
  <c r="A41" i="10" l="1"/>
  <c r="A28" i="10"/>
  <c r="A15" i="10"/>
  <c r="B46" i="3" l="1"/>
  <c r="B52" i="4" l="1"/>
  <c r="B57" i="4"/>
  <c r="C29" i="3" l="1"/>
  <c r="C52" i="3" s="1"/>
  <c r="B60" i="4"/>
  <c r="C60" i="4"/>
  <c r="C52" i="4"/>
  <c r="B35" i="1"/>
  <c r="C35" i="1"/>
  <c r="F27" i="8" l="1"/>
  <c r="G26" i="8"/>
  <c r="G25" i="8"/>
  <c r="F20" i="8"/>
  <c r="G19" i="8"/>
  <c r="G18" i="8"/>
  <c r="F13" i="8"/>
  <c r="G12" i="8"/>
  <c r="G11" i="8"/>
  <c r="E26" i="8"/>
  <c r="E25" i="8"/>
  <c r="D27" i="8"/>
  <c r="E19" i="8"/>
  <c r="E18" i="8"/>
  <c r="E12" i="8"/>
  <c r="E11" i="8"/>
  <c r="D20" i="8"/>
  <c r="D13" i="8"/>
  <c r="F29" i="8" l="1"/>
  <c r="F34" i="8" s="1"/>
  <c r="E20" i="8"/>
  <c r="E27" i="8"/>
  <c r="G27" i="8"/>
  <c r="D29" i="8"/>
  <c r="D34" i="8" s="1"/>
  <c r="G13" i="8"/>
  <c r="G20" i="8"/>
  <c r="E13" i="8"/>
  <c r="C59" i="3" l="1"/>
  <c r="B59" i="3"/>
  <c r="C47" i="3"/>
  <c r="B47" i="3"/>
  <c r="C31" i="3"/>
  <c r="C54" i="3" s="1"/>
  <c r="B31" i="3"/>
  <c r="B54" i="3" s="1"/>
  <c r="C30" i="3"/>
  <c r="C53" i="3" s="1"/>
  <c r="B30" i="3"/>
  <c r="B53" i="3" s="1"/>
  <c r="C28" i="3"/>
  <c r="C51" i="3" s="1"/>
  <c r="B28" i="3"/>
  <c r="B51" i="3" s="1"/>
  <c r="C27" i="3"/>
  <c r="B27" i="3"/>
  <c r="C26" i="3"/>
  <c r="B26" i="3"/>
  <c r="C24" i="3"/>
  <c r="B24" i="3"/>
  <c r="B27" i="8"/>
  <c r="C26" i="8"/>
  <c r="C25" i="8"/>
  <c r="B20" i="8"/>
  <c r="C19" i="8"/>
  <c r="C18" i="8"/>
  <c r="B13" i="8"/>
  <c r="C12" i="8"/>
  <c r="C11" i="8"/>
  <c r="D20" i="5"/>
  <c r="C20" i="5"/>
  <c r="D19" i="5"/>
  <c r="C19" i="5"/>
  <c r="D12" i="5"/>
  <c r="D17" i="5" s="1"/>
  <c r="C12" i="5"/>
  <c r="C14" i="5" s="1"/>
  <c r="C49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27" i="1"/>
  <c r="C25" i="3" s="1"/>
  <c r="B27" i="1"/>
  <c r="B25" i="3" s="1"/>
  <c r="C20" i="1"/>
  <c r="C22" i="1" s="1"/>
  <c r="B20" i="1"/>
  <c r="B22" i="1" s="1"/>
  <c r="D21" i="5" l="1"/>
  <c r="C28" i="2"/>
  <c r="B64" i="3"/>
  <c r="E63" i="3"/>
  <c r="E66" i="3"/>
  <c r="E64" i="3"/>
  <c r="E65" i="3"/>
  <c r="C64" i="3"/>
  <c r="F64" i="3"/>
  <c r="F66" i="3"/>
  <c r="F63" i="3"/>
  <c r="F65" i="3"/>
  <c r="C55" i="3"/>
  <c r="C20" i="8"/>
  <c r="B65" i="3"/>
  <c r="B66" i="3"/>
  <c r="B29" i="1"/>
  <c r="B37" i="1" s="1"/>
  <c r="B40" i="1" s="1"/>
  <c r="C29" i="1"/>
  <c r="C37" i="1" s="1"/>
  <c r="C40" i="1" s="1"/>
  <c r="C21" i="5"/>
  <c r="D14" i="5"/>
  <c r="D22" i="5"/>
  <c r="B49" i="4"/>
  <c r="B37" i="4"/>
  <c r="B52" i="2"/>
  <c r="B28" i="2"/>
  <c r="C52" i="2"/>
  <c r="C63" i="3"/>
  <c r="C65" i="3"/>
  <c r="C66" i="3"/>
  <c r="B63" i="3"/>
  <c r="B55" i="3"/>
  <c r="C13" i="8"/>
  <c r="B29" i="8"/>
  <c r="B34" i="8" s="1"/>
  <c r="C27" i="8"/>
  <c r="C17" i="5"/>
  <c r="C22" i="5" s="1"/>
  <c r="E67" i="3" l="1"/>
  <c r="F67" i="3"/>
  <c r="B44" i="1"/>
  <c r="B61" i="3" s="1"/>
  <c r="F59" i="2"/>
  <c r="B23" i="3"/>
  <c r="B49" i="3" s="1"/>
  <c r="B57" i="3" s="1"/>
  <c r="B68" i="3" s="1"/>
  <c r="B28" i="4"/>
  <c r="B80" i="3" s="1"/>
  <c r="B83" i="3" s="1"/>
  <c r="C44" i="1"/>
  <c r="C61" i="3" s="1"/>
  <c r="C28" i="4"/>
  <c r="B43" i="1"/>
  <c r="C23" i="3"/>
  <c r="C49" i="3" s="1"/>
  <c r="C57" i="3" s="1"/>
  <c r="C68" i="3" s="1"/>
  <c r="C53" i="1" s="1"/>
  <c r="C43" i="1"/>
  <c r="C51" i="4" l="1"/>
  <c r="C54" i="4" s="1"/>
  <c r="C80" i="3"/>
  <c r="C83" i="3" s="1"/>
  <c r="B67" i="3"/>
  <c r="B33" i="3"/>
  <c r="B52" i="1" s="1"/>
  <c r="C67" i="3"/>
  <c r="C33" i="3"/>
  <c r="C52" i="1" s="1"/>
  <c r="B51" i="4"/>
  <c r="B54" i="4" s="1"/>
  <c r="B53" i="1"/>
</calcChain>
</file>

<file path=xl/sharedStrings.xml><?xml version="1.0" encoding="utf-8"?>
<sst xmlns="http://schemas.openxmlformats.org/spreadsheetml/2006/main" count="366" uniqueCount="219">
  <si>
    <t>Arch Coal, Inc. and Subsidiaries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</si>
  <si>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</si>
  <si>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</si>
  <si>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</si>
  <si>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</si>
  <si>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</si>
  <si>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</si>
  <si>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</si>
  <si>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</si>
  <si>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</si>
  <si>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</si>
  <si>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</si>
  <si>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</si>
  <si>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</si>
  <si>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</si>
  <si>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</si>
  <si>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</si>
  <si>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</si>
  <si>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</si>
  <si>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</si>
  <si>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</si>
  <si>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</si>
  <si>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</si>
  <si>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</si>
  <si>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</si>
  <si>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</si>
  <si>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</si>
  <si>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</si>
  <si>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</si>
  <si>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</si>
  <si>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</si>
  <si>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</si>
  <si>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</si>
  <si>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</si>
  <si>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</si>
  <si>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</si>
  <si>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</si>
  <si>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</si>
  <si>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</si>
  <si>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</si>
  <si>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</si>
  <si>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</si>
  <si>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</si>
  <si>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</si>
  <si>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</si>
  <si>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</si>
  <si>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</si>
  <si>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</si>
  <si>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Tax impact of adjustments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</si>
  <si>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</si>
  <si>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</si>
  <si>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</si>
  <si>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</si>
  <si>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</si>
  <si>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</si>
  <si>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</si>
  <si>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</si>
  <si>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</si>
  <si>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</si>
  <si>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</si>
  <si>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</si>
  <si>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</si>
  <si>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</si>
  <si>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</si>
  <si>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</si>
  <si>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</si>
  <si>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</si>
  <si>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</si>
  <si>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</si>
  <si>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</si>
  <si>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</si>
  <si>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</si>
  <si>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</si>
  <si>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</si>
  <si>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</si>
  <si>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</si>
  <si>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</si>
  <si>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</si>
  <si>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</si>
  <si>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</si>
  <si>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</si>
  <si>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</si>
  <si>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</si>
  <si>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</si>
  <si>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</si>
  <si>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</si>
  <si>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</si>
  <si>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</si>
  <si>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</si>
  <si>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</si>
  <si>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</si>
  <si>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</si>
  <si>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</si>
  <si>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</si>
  <si>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</si>
  <si>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</si>
  <si>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</si>
  <si>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</si>
  <si>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</si>
  <si>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</si>
  <si>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>Other operating income, net</t>
  </si>
  <si>
    <t>Payments to extinguish term loan due 2021</t>
  </si>
  <si>
    <t>Proceeds from issuance of term loan due 2024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</si>
  <si>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</si>
  <si>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</si>
  <si>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</si>
  <si>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</si>
  <si>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</si>
  <si>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</si>
  <si>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</si>
  <si>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</si>
  <si>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</si>
  <si>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</si>
  <si>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</si>
  <si>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</si>
  <si>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</si>
  <si>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</si>
  <si>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transactions that are not indicative of the Company's core operating performance. The adjustments made to arrive at these measures are </t>
  </si>
  <si>
    <t>accepted accounting principles.</t>
  </si>
  <si>
    <t>Provision for (benefit from) income taxes</t>
  </si>
  <si>
    <t xml:space="preserve">Net income </t>
  </si>
  <si>
    <t>Net income per common share</t>
  </si>
  <si>
    <t xml:space="preserve">Basic EPS </t>
  </si>
  <si>
    <t xml:space="preserve">Diluted EPS </t>
  </si>
  <si>
    <t>Adjusted diluted income per common share (A)</t>
  </si>
  <si>
    <t xml:space="preserve">Diluted income per share </t>
  </si>
  <si>
    <t>Adjusted diluted income per share</t>
  </si>
  <si>
    <t>Income before income taxes</t>
  </si>
  <si>
    <t>Reconciliation of NON-GAAP Measures</t>
  </si>
  <si>
    <t>Idle and Other</t>
  </si>
  <si>
    <t>Consolidated</t>
  </si>
  <si>
    <t>GAAP Revenues in the consolidated statements of operations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</si>
  <si>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</si>
  <si>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</si>
  <si>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</si>
  <si>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</si>
  <si>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</si>
  <si>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</si>
  <si>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</si>
  <si>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transportation costs, and may be adjusted for other items that, due to generally accepted accounting principles, are classified in “other income” on the statement of </t>
  </si>
  <si>
    <t>GAAP Cost of sales in the consolidated statements of operations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</si>
  <si>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</si>
  <si>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</si>
  <si>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</si>
  <si>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</si>
  <si>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</si>
  <si>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Cost of sales in the consolidated statements of operations</t>
  </si>
  <si>
    <t>Less:  Adjustments to reconcile to Non-GAAP Segment cash cost of coal sales</t>
  </si>
  <si>
    <t>Reported segment cost of coal sales</t>
  </si>
  <si>
    <t>Cash cost per ton sold</t>
  </si>
  <si>
    <t>Free Cash Flow</t>
  </si>
  <si>
    <t>Cash used for capital expenditures</t>
  </si>
  <si>
    <t>Free cash flow is defined as cash provided by (used in) operating activities less cash used for capital expenditures.  Free cash flow is used by</t>
  </si>
  <si>
    <t>management as a measure of the Company's ability to generate excess cash flow from our core business operations.  Free cash flow should</t>
  </si>
  <si>
    <t>not be considered in isolation or as an alternative to similar measures under generally accepted accounting principles.</t>
  </si>
  <si>
    <t>Free cash flow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</si>
  <si>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</si>
  <si>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</si>
  <si>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</si>
  <si>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 xml:space="preserve">accepted accounting principles. We believe segment coal sales per ton sold provides useful information to investors as it better reflects our revenue for the quality of coal </t>
  </si>
  <si>
    <t>sold and our operating results by including all income from coal sales. The adjustments made to arrive at these measures are significant in understanding and assessing</t>
  </si>
  <si>
    <t xml:space="preserve"> our financial condition. Therefore, segment coal sales revenues should not be considered in isolation, nor as an alternative to coal sales revenues under generally </t>
  </si>
  <si>
    <t xml:space="preserve">operations, but relate to price protection on the sale of coal. Segment coal sales per ton sold is not a measure of financial performance in accordance with generally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</si>
  <si>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</si>
  <si>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</si>
  <si>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</si>
  <si>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 xml:space="preserve">statement of operations, but relate directly to the costs incurred to produce coal. Segment cash cost per ton sold is not a measure of financial performance in accordance </t>
  </si>
  <si>
    <t xml:space="preserve">with generally acceptedaccounting principles. We believe segment cash cost per ton sold better reflects our controllable costs and our operating results by including all </t>
  </si>
  <si>
    <t xml:space="preserve">costs incurred to produce coal. The adjustments made to arrive at these measures are significant in understanding and assessing our financial condition. Therefore, </t>
  </si>
  <si>
    <t>segment cash cost of coal sales should not be considered in isolation, nor as an alternative to cost of sales under generally accepted accounting principles.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</si>
  <si>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</si>
  <si>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</si>
  <si>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</si>
  <si>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</si>
  <si>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</si>
  <si>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</si>
  <si>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 xml:space="preserve">Adjusted net income </t>
  </si>
  <si>
    <t>Nonoperating expenses</t>
  </si>
  <si>
    <t>Adjusted net income and adjusted diluted income per share</t>
  </si>
  <si>
    <t>Adjusted net income and adjusted diluted income per common share are adjusted for the after-tax impact of reorganization items, net</t>
  </si>
  <si>
    <t>and are not measures of financial performance in accordance with generally accepted accounting principles.  Adjusted net income and</t>
  </si>
  <si>
    <t>adjusted diluted income per common share may also be adjusted for items that may not reflect the trend of future results.  We believe that</t>
  </si>
  <si>
    <t xml:space="preserve">adjusted net income and adjusted diluted income per common share better reflect the trend of our future results by excluding </t>
  </si>
  <si>
    <t>significant in understanding and assessing our financial condition.  Therefore, adjusted net income and adjusted diluted income per</t>
  </si>
  <si>
    <t xml:space="preserve">share should not be considered in isolation, nor as an alternative to net income or diluted income per common share under generally </t>
  </si>
  <si>
    <t>Quarter ended March 31, 2018</t>
  </si>
  <si>
    <t>Condensed Consolidated Income Statements</t>
  </si>
  <si>
    <t>Non-service related pension and postretirement benefit costs</t>
  </si>
  <si>
    <t>Cash and cash equivalents, including restricted cash, beginning of period</t>
  </si>
  <si>
    <t>Cash and cash equivalents, including restricted cash, end of period</t>
  </si>
  <si>
    <t>Adjusted EBITDA (A) (Unaudited)</t>
  </si>
  <si>
    <t>(A) Adjusted EBITDA and Adjusted diluted income per common share are defined and reconciled under "Reconciliation of Non-GAAP Measures" later in this release.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</si>
  <si>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</si>
  <si>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</si>
  <si>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</si>
  <si>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</si>
  <si>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</si>
  <si>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</si>
  <si>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</si>
  <si>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</si>
  <si>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</si>
  <si>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</si>
  <si>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</si>
  <si>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 xml:space="preserve">Three Months Ended June 30, </t>
  </si>
  <si>
    <t xml:space="preserve">Six Months Ended June 30, </t>
  </si>
  <si>
    <t xml:space="preserve">June 30, </t>
  </si>
  <si>
    <t>Quarter ended June 30, 2018</t>
  </si>
  <si>
    <t>Quarter ended June 30, 2017</t>
  </si>
  <si>
    <t>Three Months  Ended           June 30, 2018</t>
  </si>
  <si>
    <t>Three Months  Ended           June 30, 2017</t>
  </si>
  <si>
    <t>Term loan due 2024 ($296.3 million face value)</t>
  </si>
  <si>
    <t>Three Months  Ended           March 31, 2018</t>
  </si>
  <si>
    <t>Cash used in investing activities</t>
  </si>
  <si>
    <t>Decrease in cash and cash equivalents, including restricted cash</t>
  </si>
  <si>
    <t xml:space="preserve">Three Months </t>
  </si>
  <si>
    <t>Ended March 31, 2018</t>
  </si>
  <si>
    <t>Ended June 30, 2018</t>
  </si>
  <si>
    <t>Non-service related pension and postretirement benefit (costs) credits</t>
  </si>
  <si>
    <t>June 30,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</si>
</sst>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7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19" fillId="0" borderId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1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2" fillId="0" borderId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32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/>
    <xf numFmtId="169" fontId="7" fillId="0" borderId="0" xfId="0" applyNumberFormat="1" applyFont="1" applyAlignme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71" fontId="7" fillId="0" borderId="0" xfId="0" applyNumberFormat="1" applyFont="1" applyAlignment="1"/>
    <xf numFmtId="171" fontId="7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5" fillId="0" borderId="0" xfId="0" applyFont="1" applyFill="1" applyAlignment="1">
      <alignment horizontal="left"/>
    </xf>
    <xf numFmtId="165" fontId="15" fillId="0" borderId="0" xfId="0" applyNumberFormat="1" applyFont="1" applyFill="1" applyAlignment="1"/>
    <xf numFmtId="167" fontId="15" fillId="0" borderId="0" xfId="0" applyNumberFormat="1" applyFont="1" applyFill="1" applyAlignment="1"/>
    <xf numFmtId="0" fontId="0" fillId="0" borderId="0" xfId="0" applyFill="1" applyAlignment="1">
      <alignment wrapText="1"/>
    </xf>
    <xf numFmtId="167" fontId="15" fillId="0" borderId="1" xfId="0" applyNumberFormat="1" applyFont="1" applyFill="1" applyBorder="1" applyAlignment="1"/>
    <xf numFmtId="165" fontId="15" fillId="0" borderId="6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70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0" fillId="0" borderId="0" xfId="0" applyFill="1" applyAlignment="1"/>
    <xf numFmtId="44" fontId="7" fillId="0" borderId="0" xfId="2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43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7" fontId="15" fillId="0" borderId="0" xfId="0" applyNumberFormat="1" applyFont="1" applyFill="1" applyBorder="1" applyAlignment="1"/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71" fontId="7" fillId="0" borderId="0" xfId="0" applyNumberFormat="1" applyFont="1" applyFill="1" applyAlignment="1"/>
    <xf numFmtId="17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4" xfId="1" applyNumberFormat="1" applyFont="1" applyFill="1" applyBorder="1" applyAlignment="1">
      <alignment horizontal="center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2" fillId="0" borderId="0" xfId="0" applyFont="1" applyBorder="1" applyAlignment="1">
      <alignment horizontal="center"/>
    </xf>
    <xf numFmtId="0" fontId="15" fillId="0" borderId="0" xfId="0" applyFont="1" applyFill="1" applyAlignment="1"/>
    <xf numFmtId="0" fontId="1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/>
    </xf>
    <xf numFmtId="44" fontId="7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7" fillId="0" borderId="0" xfId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4" fontId="7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/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64" fontId="15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164" fontId="15" fillId="0" borderId="0" xfId="2" applyNumberFormat="1" applyFont="1" applyFill="1" applyBorder="1" applyAlignment="1">
      <alignment horizontal="left"/>
    </xf>
    <xf numFmtId="166" fontId="15" fillId="0" borderId="0" xfId="1" applyNumberFormat="1" applyFont="1" applyFill="1" applyBorder="1" applyAlignment="1"/>
    <xf numFmtId="166" fontId="15" fillId="0" borderId="1" xfId="1" applyNumberFormat="1" applyFont="1" applyFill="1" applyBorder="1" applyAlignment="1"/>
    <xf numFmtId="165" fontId="15" fillId="0" borderId="0" xfId="0" applyNumberFormat="1" applyFont="1" applyFill="1" applyBorder="1" applyAlignment="1"/>
    <xf numFmtId="167" fontId="1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4" fontId="7" fillId="0" borderId="0" xfId="25" applyNumberFormat="1" applyFont="1" applyFill="1" applyBorder="1" applyAlignment="1"/>
    <xf numFmtId="173" fontId="7" fillId="0" borderId="1" xfId="24" applyNumberFormat="1" applyFont="1" applyFill="1" applyBorder="1" applyAlignment="1"/>
    <xf numFmtId="173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3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4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71" fontId="7" fillId="0" borderId="0" xfId="0" applyNumberFormat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71" fontId="7" fillId="0" borderId="0" xfId="0" applyNumberFormat="1" applyFont="1" applyAlignment="1"/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44" fontId="7" fillId="0" borderId="5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/>
    <xf numFmtId="0" fontId="0" fillId="0" borderId="0" xfId="0" applyFill="1" applyBorder="1" applyAlignment="1"/>
    <xf numFmtId="166" fontId="7" fillId="0" borderId="4" xfId="1" applyNumberFormat="1" applyFont="1" applyFill="1" applyBorder="1" applyAlignment="1"/>
    <xf numFmtId="44" fontId="7" fillId="0" borderId="0" xfId="2" applyNumberFormat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left"/>
    </xf>
    <xf numFmtId="43" fontId="7" fillId="0" borderId="0" xfId="1" applyFont="1" applyFill="1" applyBorder="1" applyAlignment="1"/>
    <xf numFmtId="44" fontId="7" fillId="0" borderId="6" xfId="2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4" fillId="0" borderId="0" xfId="0" applyFont="1" applyAlignment="1">
      <alignment wrapText="1"/>
    </xf>
    <xf numFmtId="0" fontId="25" fillId="0" borderId="7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166" fontId="7" fillId="0" borderId="0" xfId="1" applyNumberFormat="1" applyFont="1" applyBorder="1"/>
    <xf numFmtId="166" fontId="7" fillId="0" borderId="0" xfId="1" applyNumberFormat="1" applyFont="1"/>
    <xf numFmtId="0" fontId="7" fillId="0" borderId="0" xfId="0" applyFont="1" applyAlignment="1">
      <alignment horizontal="left" wrapText="1" indent="1"/>
    </xf>
    <xf numFmtId="44" fontId="7" fillId="0" borderId="0" xfId="2" applyFont="1" applyBorder="1"/>
    <xf numFmtId="0" fontId="18" fillId="0" borderId="0" xfId="31" applyFont="1"/>
    <xf numFmtId="164" fontId="7" fillId="0" borderId="0" xfId="2" applyNumberFormat="1" applyFont="1" applyFill="1" applyBorder="1"/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0" xfId="31" applyAlignment="1"/>
    <xf numFmtId="0" fontId="18" fillId="0" borderId="0" xfId="31" applyFont="1" applyAlignment="1"/>
    <xf numFmtId="0" fontId="26" fillId="0" borderId="0" xfId="31" applyFont="1" applyAlignment="1"/>
    <xf numFmtId="0" fontId="7" fillId="0" borderId="0" xfId="0" applyFont="1" applyAlignment="1">
      <alignment vertical="center"/>
    </xf>
    <xf numFmtId="0" fontId="18" fillId="0" borderId="0" xfId="31" applyFont="1" applyAlignment="1">
      <alignment horizontal="left"/>
    </xf>
    <xf numFmtId="0" fontId="23" fillId="0" borderId="0" xfId="31" applyAlignment="1">
      <alignment horizontal="left" wrapText="1"/>
    </xf>
    <xf numFmtId="0" fontId="23" fillId="0" borderId="0" xfId="3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7" fillId="0" borderId="6" xfId="2" applyNumberFormat="1" applyFont="1" applyBorder="1"/>
    <xf numFmtId="0" fontId="7" fillId="0" borderId="0" xfId="0" applyFont="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7" fillId="0" borderId="0" xfId="1" applyNumberFormat="1" applyFont="1" applyFill="1" applyBorder="1" applyAlignme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6" xfId="2" applyNumberFormat="1" applyFont="1" applyFill="1" applyBorder="1"/>
    <xf numFmtId="0" fontId="24" fillId="0" borderId="0" xfId="0" applyFont="1" applyFill="1" applyAlignment="1">
      <alignment wrapText="1"/>
    </xf>
    <xf numFmtId="0" fontId="25" fillId="0" borderId="7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3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171" fontId="7" fillId="0" borderId="0" xfId="0" applyNumberFormat="1" applyFont="1" applyAlignment="1"/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3"/>
  <sheetViews>
    <sheetView tabSelected="1" workbookViewId="0">
      <selection activeCell="A33" sqref="A33"/>
    </sheetView>
  </sheetViews>
  <sheetFormatPr defaultColWidth="21.5" defaultRowHeight="13.5" customHeight="1" x14ac:dyDescent="0.2"/>
  <cols>
    <col min="1" max="1" width="74" style="1" bestFit="1" customWidth="1"/>
    <col min="2" max="2" width="16.83203125" style="1" customWidth="1"/>
    <col min="3" max="3" width="16.83203125" style="213" customWidth="1"/>
    <col min="4" max="4" width="1" style="1" customWidth="1"/>
    <col min="5" max="6" width="16.83203125" style="1" customWidth="1"/>
    <col min="7" max="9" width="0" style="1" hidden="1" customWidth="1"/>
    <col min="10" max="16384" width="21.5" style="1"/>
  </cols>
  <sheetData>
    <row r="1" spans="1:9" ht="13.5" customHeight="1" x14ac:dyDescent="0.25">
      <c r="A1" s="303" t="s">
        <v>0</v>
      </c>
      <c r="B1" s="303"/>
      <c r="C1" s="303"/>
    </row>
    <row r="2" spans="1:9" ht="13.5" customHeight="1" x14ac:dyDescent="0.25">
      <c r="A2" s="303" t="s">
        <v>186</v>
      </c>
      <c r="B2" s="303"/>
      <c r="C2" s="303"/>
    </row>
    <row r="3" spans="1:9" ht="13.5" customHeight="1" x14ac:dyDescent="0.25">
      <c r="A3" s="303" t="s">
        <v>1</v>
      </c>
      <c r="B3" s="303"/>
      <c r="C3" s="303"/>
    </row>
    <row r="4" spans="1:9" ht="13.5" customHeight="1" x14ac:dyDescent="0.2">
      <c r="A4" s="2"/>
      <c r="B4" s="2"/>
    </row>
    <row r="5" spans="1:9" s="125" customFormat="1" ht="13.5" customHeight="1" x14ac:dyDescent="0.2">
      <c r="A5" s="22"/>
      <c r="B5" s="22"/>
      <c r="C5" s="213"/>
    </row>
    <row r="6" spans="1:9" ht="13.5" customHeight="1" x14ac:dyDescent="0.2">
      <c r="A6" s="3"/>
      <c r="B6" s="301" t="s">
        <v>203</v>
      </c>
      <c r="C6" s="301"/>
      <c r="E6" s="301" t="s">
        <v>204</v>
      </c>
      <c r="F6" s="301"/>
    </row>
    <row r="7" spans="1:9" ht="12.75" x14ac:dyDescent="0.2">
      <c r="A7" s="3"/>
      <c r="B7" s="148">
        <v>2018</v>
      </c>
      <c r="C7" s="216">
        <v>2017</v>
      </c>
      <c r="E7" s="290">
        <v>2018</v>
      </c>
      <c r="F7" s="216">
        <v>2017</v>
      </c>
    </row>
    <row r="8" spans="1:9" ht="13.5" customHeight="1" x14ac:dyDescent="0.2">
      <c r="A8" s="3"/>
      <c r="B8" s="302" t="s">
        <v>3</v>
      </c>
      <c r="C8" s="302"/>
      <c r="D8" s="302"/>
      <c r="E8" s="302"/>
      <c r="F8" s="302"/>
    </row>
    <row r="9" spans="1:9" ht="13.5" customHeight="1" x14ac:dyDescent="0.2">
      <c r="A9" s="3"/>
      <c r="B9" s="25"/>
      <c r="C9" s="25"/>
      <c r="E9" s="25"/>
      <c r="F9" s="25"/>
    </row>
    <row r="10" spans="1:9" ht="13.5" customHeight="1" x14ac:dyDescent="0.2">
      <c r="A10" s="54" t="s">
        <v>4</v>
      </c>
      <c r="B10" s="200">
        <v>592349</v>
      </c>
      <c r="C10" s="200">
        <v>549866</v>
      </c>
      <c r="E10" s="200">
        <v>1167644</v>
      </c>
      <c r="F10" s="200">
        <v>1150841</v>
      </c>
      <c r="G10" s="1">
        <v>1167644</v>
      </c>
      <c r="H10" s="1">
        <v>575295</v>
      </c>
      <c r="I10" s="1">
        <f>G10-H10</f>
        <v>592349</v>
      </c>
    </row>
    <row r="11" spans="1:9" ht="13.5" customHeight="1" x14ac:dyDescent="0.2">
      <c r="A11" s="27"/>
      <c r="B11" s="201"/>
      <c r="C11" s="201"/>
      <c r="E11" s="201"/>
      <c r="F11" s="201"/>
    </row>
    <row r="12" spans="1:9" ht="13.5" customHeight="1" x14ac:dyDescent="0.2">
      <c r="A12" s="54" t="s">
        <v>5</v>
      </c>
      <c r="B12" s="201"/>
      <c r="C12" s="201"/>
      <c r="E12" s="201"/>
      <c r="F12" s="201"/>
    </row>
    <row r="13" spans="1:9" ht="13.5" customHeight="1" x14ac:dyDescent="0.2">
      <c r="A13" s="55" t="s">
        <v>6</v>
      </c>
      <c r="B13" s="62">
        <v>474388</v>
      </c>
      <c r="C13" s="62">
        <f>435038-573</f>
        <v>434465</v>
      </c>
      <c r="D13" s="42"/>
      <c r="E13" s="62">
        <v>929168</v>
      </c>
      <c r="F13" s="62">
        <f>896448-1533</f>
        <v>894915</v>
      </c>
      <c r="G13" s="1">
        <f>943153-13985</f>
        <v>929168</v>
      </c>
      <c r="H13" s="1">
        <v>454780</v>
      </c>
      <c r="I13" s="1">
        <f>G13-H13</f>
        <v>474388</v>
      </c>
    </row>
    <row r="14" spans="1:9" ht="13.5" customHeight="1" x14ac:dyDescent="0.2">
      <c r="A14" s="55" t="s">
        <v>7</v>
      </c>
      <c r="B14" s="62">
        <v>30549</v>
      </c>
      <c r="C14" s="62">
        <v>30701</v>
      </c>
      <c r="E14" s="62">
        <v>60252</v>
      </c>
      <c r="F14" s="62">
        <v>62622</v>
      </c>
      <c r="G14" s="1">
        <v>60252</v>
      </c>
      <c r="H14" s="1">
        <v>29703</v>
      </c>
      <c r="I14" s="291">
        <f t="shared" ref="I14:I20" si="0">G14-H14</f>
        <v>30549</v>
      </c>
    </row>
    <row r="15" spans="1:9" s="125" customFormat="1" ht="13.5" customHeight="1" x14ac:dyDescent="0.2">
      <c r="A15" s="55" t="s">
        <v>83</v>
      </c>
      <c r="B15" s="62">
        <v>6993</v>
      </c>
      <c r="C15" s="62">
        <v>7623</v>
      </c>
      <c r="E15" s="62">
        <v>13985</v>
      </c>
      <c r="F15" s="62">
        <v>15246</v>
      </c>
      <c r="G15" s="125">
        <v>13985</v>
      </c>
      <c r="H15" s="125">
        <v>6992</v>
      </c>
      <c r="I15" s="291">
        <f t="shared" si="0"/>
        <v>6993</v>
      </c>
    </row>
    <row r="16" spans="1:9" ht="13.5" customHeight="1" x14ac:dyDescent="0.2">
      <c r="A16" s="55" t="s">
        <v>85</v>
      </c>
      <c r="B16" s="62">
        <v>3248</v>
      </c>
      <c r="C16" s="62">
        <v>14352</v>
      </c>
      <c r="E16" s="62">
        <v>6299</v>
      </c>
      <c r="F16" s="62">
        <v>29042</v>
      </c>
      <c r="G16" s="1">
        <v>6299</v>
      </c>
      <c r="H16" s="1">
        <v>3051</v>
      </c>
      <c r="I16" s="291">
        <f t="shared" si="0"/>
        <v>3248</v>
      </c>
    </row>
    <row r="17" spans="1:10" ht="13.5" customHeight="1" x14ac:dyDescent="0.2">
      <c r="A17" s="55" t="s">
        <v>8</v>
      </c>
      <c r="B17" s="62">
        <v>15138</v>
      </c>
      <c r="C17" s="62">
        <v>863</v>
      </c>
      <c r="E17" s="62">
        <v>11724</v>
      </c>
      <c r="F17" s="62">
        <v>1717</v>
      </c>
      <c r="G17" s="1">
        <v>11724</v>
      </c>
      <c r="H17" s="1">
        <v>-3414</v>
      </c>
      <c r="I17" s="291">
        <f t="shared" si="0"/>
        <v>15138</v>
      </c>
    </row>
    <row r="18" spans="1:10" ht="13.5" customHeight="1" x14ac:dyDescent="0.2">
      <c r="A18" s="55" t="s">
        <v>9</v>
      </c>
      <c r="B18" s="62">
        <v>24756</v>
      </c>
      <c r="C18" s="62">
        <f>22146+310</f>
        <v>22456</v>
      </c>
      <c r="E18" s="62">
        <v>50704</v>
      </c>
      <c r="F18" s="62">
        <f>42669+549</f>
        <v>43218</v>
      </c>
      <c r="G18" s="1">
        <v>50704</v>
      </c>
      <c r="H18" s="1">
        <v>25948</v>
      </c>
      <c r="I18" s="291">
        <f t="shared" si="0"/>
        <v>24756</v>
      </c>
    </row>
    <row r="19" spans="1:10" ht="13.5" customHeight="1" x14ac:dyDescent="0.2">
      <c r="A19" s="55" t="s">
        <v>100</v>
      </c>
      <c r="B19" s="56">
        <v>-7318</v>
      </c>
      <c r="C19" s="56">
        <f>-3549+31</f>
        <v>-3518</v>
      </c>
      <c r="E19" s="56">
        <v>-14250</v>
      </c>
      <c r="F19" s="56">
        <f>-5859+31</f>
        <v>-5828</v>
      </c>
      <c r="G19" s="1">
        <f>6064-20314</f>
        <v>-14250</v>
      </c>
      <c r="H19" s="1">
        <v>-6932</v>
      </c>
      <c r="I19" s="291">
        <f t="shared" si="0"/>
        <v>-7318</v>
      </c>
    </row>
    <row r="20" spans="1:10" ht="13.5" customHeight="1" x14ac:dyDescent="0.2">
      <c r="A20" s="57"/>
      <c r="B20" s="56">
        <f>SUM(B13:B19)</f>
        <v>547754</v>
      </c>
      <c r="C20" s="56">
        <f>SUM(C13:C19)</f>
        <v>506942</v>
      </c>
      <c r="D20" s="42"/>
      <c r="E20" s="56">
        <f>SUM(E13:E19)</f>
        <v>1057882</v>
      </c>
      <c r="F20" s="56">
        <f>SUM(F13:F19)</f>
        <v>1040932</v>
      </c>
      <c r="G20" s="1">
        <f>SUM(G13:G19)</f>
        <v>1057882</v>
      </c>
      <c r="H20" s="291">
        <f>SUM(H13:H19)</f>
        <v>510128</v>
      </c>
      <c r="I20" s="291">
        <f t="shared" si="0"/>
        <v>547754</v>
      </c>
    </row>
    <row r="21" spans="1:10" ht="13.5" customHeight="1" x14ac:dyDescent="0.2">
      <c r="A21" s="27"/>
      <c r="B21" s="62"/>
      <c r="C21" s="62"/>
      <c r="E21" s="62"/>
      <c r="F21" s="62"/>
      <c r="H21" s="291"/>
    </row>
    <row r="22" spans="1:10" ht="13.5" customHeight="1" x14ac:dyDescent="0.2">
      <c r="A22" s="59" t="s">
        <v>171</v>
      </c>
      <c r="B22" s="62">
        <f>+B10-B20</f>
        <v>44595</v>
      </c>
      <c r="C22" s="62">
        <f>+C10-C20</f>
        <v>42924</v>
      </c>
      <c r="D22" s="42"/>
      <c r="E22" s="62">
        <f>+E10-E20</f>
        <v>109762</v>
      </c>
      <c r="F22" s="62">
        <f>+F10-F20</f>
        <v>109909</v>
      </c>
      <c r="G22" s="1">
        <f>G10-G20</f>
        <v>109762</v>
      </c>
      <c r="H22" s="291">
        <f>H10-H20</f>
        <v>65167</v>
      </c>
      <c r="I22" s="291">
        <f>I10-I20</f>
        <v>44595</v>
      </c>
    </row>
    <row r="23" spans="1:10" ht="13.5" customHeight="1" x14ac:dyDescent="0.2">
      <c r="A23" s="27"/>
      <c r="B23" s="62"/>
      <c r="C23" s="62"/>
      <c r="E23" s="62"/>
      <c r="F23" s="62"/>
    </row>
    <row r="24" spans="1:10" ht="13.5" customHeight="1" x14ac:dyDescent="0.2">
      <c r="A24" s="54" t="s">
        <v>10</v>
      </c>
      <c r="B24" s="62"/>
      <c r="C24" s="62"/>
      <c r="E24" s="62"/>
      <c r="F24" s="62"/>
    </row>
    <row r="25" spans="1:10" ht="13.5" customHeight="1" x14ac:dyDescent="0.2">
      <c r="A25" s="55" t="s">
        <v>11</v>
      </c>
      <c r="B25" s="62">
        <v>-5050</v>
      </c>
      <c r="C25" s="62">
        <v>-6003</v>
      </c>
      <c r="E25" s="62">
        <v>-10445</v>
      </c>
      <c r="F25" s="62">
        <v>-15428</v>
      </c>
      <c r="G25" s="1">
        <v>-10445</v>
      </c>
      <c r="H25" s="1">
        <v>-5395</v>
      </c>
      <c r="I25" s="1">
        <f>G25-H25</f>
        <v>-5050</v>
      </c>
    </row>
    <row r="26" spans="1:10" ht="13.5" customHeight="1" x14ac:dyDescent="0.2">
      <c r="A26" s="55" t="s">
        <v>12</v>
      </c>
      <c r="B26" s="62">
        <v>1552</v>
      </c>
      <c r="C26" s="62">
        <v>842</v>
      </c>
      <c r="E26" s="62">
        <v>2825</v>
      </c>
      <c r="F26" s="62">
        <v>1369</v>
      </c>
      <c r="G26" s="1">
        <v>2825</v>
      </c>
      <c r="H26" s="1">
        <v>1273</v>
      </c>
      <c r="I26" s="291">
        <f>G26-H26</f>
        <v>1552</v>
      </c>
    </row>
    <row r="27" spans="1:10" ht="13.5" customHeight="1" x14ac:dyDescent="0.2">
      <c r="A27" s="27"/>
      <c r="B27" s="58">
        <f>SUM(B25:B26)</f>
        <v>-3498</v>
      </c>
      <c r="C27" s="58">
        <f>SUM(C25:C26)</f>
        <v>-5161</v>
      </c>
      <c r="E27" s="58">
        <f>SUM(E25:E26)</f>
        <v>-7620</v>
      </c>
      <c r="F27" s="58">
        <f>SUM(F25:F26)</f>
        <v>-14059</v>
      </c>
      <c r="G27" s="1">
        <f>SUM(G25:G26)</f>
        <v>-7620</v>
      </c>
      <c r="H27" s="291">
        <f>SUM(H25:H26)</f>
        <v>-4122</v>
      </c>
      <c r="I27" s="291">
        <f>SUM(I25:I26)</f>
        <v>-3498</v>
      </c>
    </row>
    <row r="28" spans="1:10" ht="13.5" customHeight="1" x14ac:dyDescent="0.2">
      <c r="A28" s="27"/>
      <c r="B28" s="62"/>
      <c r="C28" s="62"/>
      <c r="E28" s="62"/>
      <c r="F28" s="62"/>
      <c r="I28" s="291"/>
    </row>
    <row r="29" spans="1:10" s="125" customFormat="1" ht="13.5" customHeight="1" x14ac:dyDescent="0.2">
      <c r="A29" s="123" t="s">
        <v>172</v>
      </c>
      <c r="B29" s="62">
        <f>B22+B27</f>
        <v>41097</v>
      </c>
      <c r="C29" s="62">
        <f>C22+C27</f>
        <v>37763</v>
      </c>
      <c r="D29" s="42"/>
      <c r="E29" s="62">
        <f>E22+E27</f>
        <v>102142</v>
      </c>
      <c r="F29" s="62">
        <f>F22+F27</f>
        <v>95850</v>
      </c>
      <c r="G29" s="125">
        <f>G22+G27</f>
        <v>102142</v>
      </c>
      <c r="H29" s="291">
        <f>H22+H27</f>
        <v>61045</v>
      </c>
      <c r="I29" s="291">
        <f>I22+I27</f>
        <v>41097</v>
      </c>
    </row>
    <row r="30" spans="1:10" s="125" customFormat="1" ht="13.5" customHeight="1" x14ac:dyDescent="0.2">
      <c r="A30" s="123"/>
      <c r="B30" s="62"/>
      <c r="C30" s="62"/>
      <c r="E30" s="62"/>
      <c r="F30" s="62"/>
    </row>
    <row r="31" spans="1:10" s="50" customFormat="1" ht="13.5" customHeight="1" x14ac:dyDescent="0.2">
      <c r="A31" s="60" t="s">
        <v>177</v>
      </c>
      <c r="B31" s="62"/>
      <c r="C31" s="62"/>
      <c r="E31" s="62"/>
      <c r="F31" s="62"/>
    </row>
    <row r="32" spans="1:10" s="266" customFormat="1" ht="13.5" customHeight="1" x14ac:dyDescent="0.2">
      <c r="A32" s="55" t="s">
        <v>217</v>
      </c>
      <c r="B32" s="62">
        <v>68</v>
      </c>
      <c r="C32" s="62">
        <f>-953+721</f>
        <v>-232</v>
      </c>
      <c r="E32" s="62">
        <v>-1235</v>
      </c>
      <c r="F32" s="62">
        <v>-953</v>
      </c>
      <c r="G32" s="266">
        <v>-1235</v>
      </c>
      <c r="H32" s="266">
        <v>-1303</v>
      </c>
      <c r="I32" s="266">
        <f>G32-H32</f>
        <v>68</v>
      </c>
      <c r="J32" s="42"/>
    </row>
    <row r="33" spans="1:11" s="50" customFormat="1" ht="13.5" customHeight="1" x14ac:dyDescent="0.2">
      <c r="A33" s="55" t="s">
        <v>76</v>
      </c>
      <c r="B33" s="62">
        <v>-485</v>
      </c>
      <c r="C33" s="62">
        <v>-31</v>
      </c>
      <c r="E33" s="62">
        <v>-485</v>
      </c>
      <c r="F33" s="62">
        <v>-2061</v>
      </c>
      <c r="G33" s="50">
        <v>-485</v>
      </c>
      <c r="H33" s="50">
        <v>0</v>
      </c>
      <c r="I33" s="291">
        <f t="shared" ref="I33:I34" si="1">G33-H33</f>
        <v>-485</v>
      </c>
    </row>
    <row r="34" spans="1:11" s="91" customFormat="1" ht="13.5" customHeight="1" x14ac:dyDescent="0.2">
      <c r="A34" s="55" t="s">
        <v>77</v>
      </c>
      <c r="B34" s="56">
        <v>-740</v>
      </c>
      <c r="C34" s="56">
        <v>-21</v>
      </c>
      <c r="E34" s="56">
        <v>-1041</v>
      </c>
      <c r="F34" s="56">
        <v>-2849</v>
      </c>
      <c r="G34" s="91">
        <v>-1041</v>
      </c>
      <c r="H34" s="91">
        <v>-301</v>
      </c>
      <c r="I34" s="291">
        <f t="shared" si="1"/>
        <v>-740</v>
      </c>
    </row>
    <row r="35" spans="1:11" s="83" customFormat="1" ht="13.5" customHeight="1" x14ac:dyDescent="0.2">
      <c r="A35" s="55"/>
      <c r="B35" s="58">
        <f>SUM(B32:B34)</f>
        <v>-1157</v>
      </c>
      <c r="C35" s="58">
        <f>SUM(C32:C34)</f>
        <v>-284</v>
      </c>
      <c r="E35" s="58">
        <f>SUM(E32:E34)</f>
        <v>-2761</v>
      </c>
      <c r="F35" s="58">
        <f>SUM(F32:F34)</f>
        <v>-5863</v>
      </c>
      <c r="G35" s="83">
        <f>SUM(G32:G34)</f>
        <v>-2761</v>
      </c>
      <c r="H35" s="291">
        <f>SUM(H32:H34)</f>
        <v>-1604</v>
      </c>
      <c r="I35" s="291">
        <f>SUM(I32:I34)</f>
        <v>-1157</v>
      </c>
    </row>
    <row r="36" spans="1:11" s="50" customFormat="1" ht="13.5" customHeight="1" x14ac:dyDescent="0.2">
      <c r="A36" s="27"/>
      <c r="B36" s="62"/>
      <c r="C36" s="62"/>
      <c r="E36" s="62"/>
      <c r="F36" s="62"/>
      <c r="H36" s="291"/>
      <c r="I36" s="291"/>
    </row>
    <row r="37" spans="1:11" ht="13.5" customHeight="1" x14ac:dyDescent="0.2">
      <c r="A37" s="61" t="s">
        <v>127</v>
      </c>
      <c r="B37" s="62">
        <f>B29+B35</f>
        <v>39940</v>
      </c>
      <c r="C37" s="62">
        <f>C29+C35</f>
        <v>37479</v>
      </c>
      <c r="D37" s="42"/>
      <c r="E37" s="62">
        <f>E29+E35</f>
        <v>99381</v>
      </c>
      <c r="F37" s="62">
        <f>F29+F35</f>
        <v>89987</v>
      </c>
      <c r="G37" s="1">
        <f>G29+G35</f>
        <v>99381</v>
      </c>
      <c r="H37" s="291">
        <f t="shared" ref="H37:I37" si="2">H29+H35</f>
        <v>59441</v>
      </c>
      <c r="I37" s="291">
        <f t="shared" si="2"/>
        <v>39940</v>
      </c>
    </row>
    <row r="38" spans="1:11" ht="13.5" customHeight="1" x14ac:dyDescent="0.2">
      <c r="A38" s="61" t="s">
        <v>119</v>
      </c>
      <c r="B38" s="56">
        <v>-3366</v>
      </c>
      <c r="C38" s="56">
        <v>319</v>
      </c>
      <c r="E38" s="56">
        <v>-3910</v>
      </c>
      <c r="F38" s="56">
        <v>1159</v>
      </c>
      <c r="G38" s="1">
        <v>-544</v>
      </c>
      <c r="H38" s="291">
        <v>-544</v>
      </c>
      <c r="I38" s="1">
        <f>G38-H38</f>
        <v>0</v>
      </c>
    </row>
    <row r="39" spans="1:11" s="31" customFormat="1" ht="13.5" customHeight="1" x14ac:dyDescent="0.2">
      <c r="A39" s="61"/>
      <c r="B39" s="62"/>
      <c r="C39" s="62"/>
      <c r="E39" s="62"/>
      <c r="F39" s="62"/>
      <c r="H39" s="291"/>
    </row>
    <row r="40" spans="1:11" ht="13.5" customHeight="1" thickBot="1" x14ac:dyDescent="0.25">
      <c r="A40" s="63" t="s">
        <v>120</v>
      </c>
      <c r="B40" s="64">
        <f>B37-B38</f>
        <v>43306</v>
      </c>
      <c r="C40" s="64">
        <f>C37-C38</f>
        <v>37160</v>
      </c>
      <c r="D40" s="42"/>
      <c r="E40" s="64">
        <f>E37-E38</f>
        <v>103291</v>
      </c>
      <c r="F40" s="64">
        <f>F37-F38</f>
        <v>88828</v>
      </c>
      <c r="G40" s="1">
        <f>G37-G38</f>
        <v>99925</v>
      </c>
      <c r="H40" s="291">
        <f>H37-H38</f>
        <v>59985</v>
      </c>
      <c r="I40" s="291">
        <f>I37-I38</f>
        <v>39940</v>
      </c>
      <c r="K40" s="299"/>
    </row>
    <row r="41" spans="1:11" ht="13.5" customHeight="1" thickTop="1" x14ac:dyDescent="0.2">
      <c r="A41" s="60"/>
      <c r="B41" s="201"/>
      <c r="C41" s="201"/>
    </row>
    <row r="42" spans="1:11" ht="13.5" customHeight="1" x14ac:dyDescent="0.2">
      <c r="A42" s="54" t="s">
        <v>121</v>
      </c>
      <c r="B42" s="202"/>
      <c r="C42" s="202"/>
    </row>
    <row r="43" spans="1:11" ht="13.5" customHeight="1" thickBot="1" x14ac:dyDescent="0.25">
      <c r="A43" s="84" t="s">
        <v>122</v>
      </c>
      <c r="B43" s="203">
        <f>ROUND(B40/B47,2)</f>
        <v>2.15</v>
      </c>
      <c r="C43" s="203">
        <f>ROUND(C40/C47,2)</f>
        <v>1.51</v>
      </c>
      <c r="E43" s="203">
        <f>ROUND(E40/E47,2)</f>
        <v>5.03</v>
      </c>
      <c r="F43" s="203">
        <f>ROUND(F40/F47,2)</f>
        <v>3.58</v>
      </c>
    </row>
    <row r="44" spans="1:11" s="138" customFormat="1" ht="13.5" customHeight="1" thickTop="1" thickBot="1" x14ac:dyDescent="0.25">
      <c r="A44" s="137" t="s">
        <v>123</v>
      </c>
      <c r="B44" s="173">
        <f>ROUND(B40/B48,2)</f>
        <v>2.06</v>
      </c>
      <c r="C44" s="173">
        <f>ROUND(C40/C48,2)</f>
        <v>1.48</v>
      </c>
      <c r="E44" s="173">
        <f>ROUND(E40/E48,2)</f>
        <v>4.8099999999999996</v>
      </c>
      <c r="F44" s="173">
        <f>ROUND(F40/F48,2)</f>
        <v>3.52</v>
      </c>
    </row>
    <row r="45" spans="1:11" ht="13.5" customHeight="1" thickTop="1" x14ac:dyDescent="0.2">
      <c r="A45" s="85"/>
      <c r="B45" s="201"/>
      <c r="C45" s="201"/>
      <c r="E45" s="201"/>
      <c r="F45" s="201"/>
    </row>
    <row r="46" spans="1:11" s="172" customFormat="1" ht="13.5" customHeight="1" x14ac:dyDescent="0.2">
      <c r="A46" s="60" t="s">
        <v>110</v>
      </c>
      <c r="B46" s="201"/>
      <c r="C46" s="201"/>
      <c r="E46" s="201"/>
      <c r="F46" s="201"/>
    </row>
    <row r="47" spans="1:11" ht="13.5" customHeight="1" thickBot="1" x14ac:dyDescent="0.25">
      <c r="A47" s="84" t="s">
        <v>84</v>
      </c>
      <c r="B47" s="204">
        <v>20156</v>
      </c>
      <c r="C47" s="204">
        <v>24659</v>
      </c>
      <c r="E47" s="204">
        <v>20529</v>
      </c>
      <c r="F47" s="204">
        <v>24834</v>
      </c>
    </row>
    <row r="48" spans="1:11" s="138" customFormat="1" ht="13.5" customHeight="1" thickTop="1" thickBot="1" x14ac:dyDescent="0.25">
      <c r="A48" s="137" t="s">
        <v>13</v>
      </c>
      <c r="B48" s="204">
        <v>21036</v>
      </c>
      <c r="C48" s="204">
        <v>25082</v>
      </c>
      <c r="E48" s="204">
        <v>21456</v>
      </c>
      <c r="F48" s="204">
        <v>25245</v>
      </c>
    </row>
    <row r="49" spans="1:6" ht="13.5" customHeight="1" thickTop="1" x14ac:dyDescent="0.2">
      <c r="A49" s="85"/>
      <c r="B49" s="201"/>
      <c r="C49" s="201"/>
      <c r="E49" s="201"/>
      <c r="F49" s="201"/>
    </row>
    <row r="50" spans="1:6" s="172" customFormat="1" ht="13.5" customHeight="1" thickBot="1" x14ac:dyDescent="0.25">
      <c r="A50" s="171" t="s">
        <v>111</v>
      </c>
      <c r="B50" s="173">
        <v>0.4</v>
      </c>
      <c r="C50" s="173">
        <v>0.35</v>
      </c>
      <c r="E50" s="173">
        <v>0.8</v>
      </c>
      <c r="F50" s="173">
        <v>0.35</v>
      </c>
    </row>
    <row r="51" spans="1:6" s="172" customFormat="1" ht="13.5" customHeight="1" thickTop="1" x14ac:dyDescent="0.2">
      <c r="A51" s="171"/>
      <c r="B51" s="201"/>
      <c r="C51" s="201"/>
      <c r="E51" s="201"/>
      <c r="F51" s="201"/>
    </row>
    <row r="52" spans="1:6" ht="13.5" customHeight="1" thickBot="1" x14ac:dyDescent="0.25">
      <c r="A52" s="54" t="s">
        <v>190</v>
      </c>
      <c r="B52" s="65">
        <f>'Reconciliation page'!B33</f>
        <v>85385</v>
      </c>
      <c r="C52" s="65">
        <f>'Reconciliation page'!C33</f>
        <v>95600</v>
      </c>
      <c r="E52" s="65">
        <f>'Reconciliation page'!E33</f>
        <v>190298</v>
      </c>
      <c r="F52" s="65">
        <f>'Reconciliation page'!F33</f>
        <v>216819</v>
      </c>
    </row>
    <row r="53" spans="1:6" ht="13.5" customHeight="1" thickTop="1" thickBot="1" x14ac:dyDescent="0.25">
      <c r="A53" s="54" t="s">
        <v>124</v>
      </c>
      <c r="B53" s="205">
        <f>'Reconciliation page'!B68</f>
        <v>2.2638762122076441</v>
      </c>
      <c r="C53" s="205">
        <f>'Reconciliation page'!C68</f>
        <v>2.0533968583047604</v>
      </c>
      <c r="E53" s="205">
        <f>'Reconciliation page'!E68</f>
        <v>5.2278989560029832</v>
      </c>
      <c r="F53" s="205">
        <f>'Reconciliation page'!F68</f>
        <v>4.8736343830461477</v>
      </c>
    </row>
    <row r="54" spans="1:6" ht="36.75" customHeight="1" thickTop="1" x14ac:dyDescent="0.2">
      <c r="A54" s="300" t="s">
        <v>191</v>
      </c>
      <c r="B54" s="300"/>
      <c r="C54" s="300"/>
      <c r="D54" s="300"/>
      <c r="E54" s="300"/>
      <c r="F54" s="300"/>
    </row>
    <row r="55" spans="1:6" ht="13.5" customHeight="1" x14ac:dyDescent="0.2">
      <c r="A55" s="27"/>
      <c r="B55" s="27"/>
    </row>
    <row r="56" spans="1:6" ht="13.5" customHeight="1" x14ac:dyDescent="0.2">
      <c r="A56" s="27"/>
      <c r="B56" s="30"/>
    </row>
    <row r="57" spans="1:6" ht="13.5" customHeight="1" x14ac:dyDescent="0.2">
      <c r="A57" s="27"/>
      <c r="B57" s="67"/>
    </row>
    <row r="58" spans="1:6" ht="13.5" customHeight="1" x14ac:dyDescent="0.2">
      <c r="A58" s="27"/>
      <c r="B58" s="27"/>
    </row>
    <row r="59" spans="1:6" ht="13.5" customHeight="1" x14ac:dyDescent="0.2">
      <c r="A59" s="27"/>
      <c r="B59" s="27"/>
    </row>
    <row r="60" spans="1:6" ht="13.5" customHeight="1" x14ac:dyDescent="0.2">
      <c r="A60" s="68"/>
      <c r="B60" s="68"/>
    </row>
    <row r="61" spans="1:6" ht="13.5" customHeight="1" x14ac:dyDescent="0.2">
      <c r="A61" s="68"/>
      <c r="B61" s="68"/>
    </row>
    <row r="62" spans="1:6" ht="13.5" customHeight="1" x14ac:dyDescent="0.2">
      <c r="A62" s="2"/>
      <c r="B62" s="2"/>
    </row>
    <row r="63" spans="1:6" ht="13.5" customHeight="1" x14ac:dyDescent="0.2">
      <c r="A63" s="2"/>
      <c r="B63" s="2"/>
    </row>
    <row r="64" spans="1:6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</sheetData>
  <mergeCells count="7">
    <mergeCell ref="A54:F54"/>
    <mergeCell ref="E6:F6"/>
    <mergeCell ref="B8:F8"/>
    <mergeCell ref="A1:C1"/>
    <mergeCell ref="A2:C2"/>
    <mergeCell ref="A3:C3"/>
    <mergeCell ref="B6:C6"/>
  </mergeCells>
  <pageMargins left="0.7" right="0.7" top="0.75" bottom="0.75" header="0.3" footer="0.3"/>
  <pageSetup scale="71" orientation="portrait" r:id="rId1"/>
  <ignoredErrors>
    <ignoredError sqref="B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J25" sqref="J25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100" hidden="1" customWidth="1"/>
    <col min="6" max="6" width="0" style="1" hidden="1" customWidth="1"/>
    <col min="7" max="16384" width="21.5" style="1"/>
  </cols>
  <sheetData>
    <row r="1" spans="1:7" ht="13.5" customHeight="1" x14ac:dyDescent="0.25">
      <c r="A1" s="303" t="s">
        <v>0</v>
      </c>
      <c r="B1" s="304"/>
      <c r="C1" s="304"/>
    </row>
    <row r="2" spans="1:7" ht="13.5" customHeight="1" x14ac:dyDescent="0.25">
      <c r="A2" s="303" t="s">
        <v>14</v>
      </c>
      <c r="B2" s="304"/>
      <c r="C2" s="304"/>
    </row>
    <row r="3" spans="1:7" ht="13.5" customHeight="1" x14ac:dyDescent="0.25">
      <c r="A3" s="303" t="s">
        <v>15</v>
      </c>
      <c r="B3" s="304"/>
      <c r="C3" s="304"/>
    </row>
    <row r="4" spans="1:7" ht="13.5" customHeight="1" x14ac:dyDescent="0.2">
      <c r="A4" s="3"/>
      <c r="B4" s="3"/>
      <c r="C4" s="3"/>
      <c r="D4" s="3"/>
    </row>
    <row r="5" spans="1:7" s="125" customFormat="1" ht="13.5" customHeight="1" x14ac:dyDescent="0.2">
      <c r="A5" s="124"/>
      <c r="B5" s="152"/>
      <c r="C5" s="152"/>
      <c r="D5" s="124"/>
      <c r="E5" s="100"/>
    </row>
    <row r="6" spans="1:7" ht="13.5" customHeight="1" x14ac:dyDescent="0.2">
      <c r="A6" s="3"/>
      <c r="B6" s="153" t="s">
        <v>205</v>
      </c>
      <c r="C6" s="129" t="s">
        <v>68</v>
      </c>
      <c r="D6" s="3"/>
    </row>
    <row r="7" spans="1:7" ht="13.5" customHeight="1" x14ac:dyDescent="0.2">
      <c r="A7" s="3"/>
      <c r="B7" s="148">
        <v>2018</v>
      </c>
      <c r="C7" s="14">
        <v>2017</v>
      </c>
      <c r="D7" s="3"/>
    </row>
    <row r="8" spans="1:7" ht="13.5" customHeight="1" x14ac:dyDescent="0.2">
      <c r="A8" s="3"/>
      <c r="B8" s="144" t="s">
        <v>3</v>
      </c>
      <c r="C8" s="128"/>
      <c r="D8" s="3"/>
    </row>
    <row r="9" spans="1:7" ht="13.5" customHeight="1" x14ac:dyDescent="0.2">
      <c r="A9" s="5" t="s">
        <v>16</v>
      </c>
      <c r="B9" s="25"/>
      <c r="C9" s="3"/>
      <c r="D9" s="3"/>
    </row>
    <row r="10" spans="1:7" ht="13.5" customHeight="1" x14ac:dyDescent="0.2">
      <c r="A10" s="5" t="s">
        <v>17</v>
      </c>
      <c r="B10" s="25"/>
      <c r="C10" s="3"/>
      <c r="D10" s="3"/>
    </row>
    <row r="11" spans="1:7" ht="13.5" customHeight="1" x14ac:dyDescent="0.2">
      <c r="A11" s="6" t="s">
        <v>18</v>
      </c>
      <c r="B11" s="154">
        <v>241590</v>
      </c>
      <c r="C11" s="69">
        <v>273387</v>
      </c>
      <c r="D11" s="3"/>
    </row>
    <row r="12" spans="1:7" ht="13.5" customHeight="1" x14ac:dyDescent="0.2">
      <c r="A12" s="6" t="s">
        <v>19</v>
      </c>
      <c r="B12" s="29">
        <v>160894</v>
      </c>
      <c r="C12" s="71">
        <v>155846</v>
      </c>
      <c r="D12" s="3"/>
    </row>
    <row r="13" spans="1:7" ht="13.5" customHeight="1" x14ac:dyDescent="0.2">
      <c r="A13" s="6" t="s">
        <v>20</v>
      </c>
      <c r="B13" s="29">
        <v>198362</v>
      </c>
      <c r="C13" s="71">
        <v>172604</v>
      </c>
      <c r="D13" s="3"/>
      <c r="F13" s="185"/>
      <c r="G13" s="185"/>
    </row>
    <row r="14" spans="1:7" ht="13.5" customHeight="1" x14ac:dyDescent="0.2">
      <c r="A14" s="6" t="s">
        <v>21</v>
      </c>
      <c r="B14" s="29">
        <v>12612</v>
      </c>
      <c r="C14" s="71">
        <v>29771</v>
      </c>
      <c r="D14" s="3"/>
      <c r="F14" s="185"/>
      <c r="G14" s="185"/>
    </row>
    <row r="15" spans="1:7" ht="13.5" customHeight="1" x14ac:dyDescent="0.2">
      <c r="A15" s="6" t="s">
        <v>22</v>
      </c>
      <c r="B15" s="29">
        <v>157205</v>
      </c>
      <c r="C15" s="71">
        <v>128960</v>
      </c>
      <c r="D15" s="3"/>
      <c r="F15" s="185"/>
      <c r="G15" s="185"/>
    </row>
    <row r="16" spans="1:7" ht="13.5" hidden="1" customHeight="1" x14ac:dyDescent="0.2">
      <c r="A16" s="6" t="s">
        <v>23</v>
      </c>
      <c r="B16" s="29"/>
      <c r="C16" s="71">
        <v>0</v>
      </c>
      <c r="D16" s="3"/>
      <c r="F16" s="185"/>
      <c r="G16" s="185"/>
    </row>
    <row r="17" spans="1:7" s="36" customFormat="1" ht="13.5" hidden="1" customHeight="1" x14ac:dyDescent="0.2">
      <c r="A17" s="6" t="s">
        <v>25</v>
      </c>
      <c r="B17" s="29"/>
      <c r="C17" s="26">
        <v>0</v>
      </c>
      <c r="D17" s="35"/>
      <c r="E17" s="100"/>
      <c r="F17" s="185"/>
      <c r="G17" s="185"/>
    </row>
    <row r="18" spans="1:7" ht="13.5" hidden="1" customHeight="1" x14ac:dyDescent="0.2">
      <c r="A18" s="6" t="s">
        <v>24</v>
      </c>
      <c r="B18" s="29"/>
      <c r="C18" s="71">
        <v>0</v>
      </c>
      <c r="D18" s="3"/>
      <c r="F18" s="185"/>
      <c r="G18" s="185"/>
    </row>
    <row r="19" spans="1:7" ht="13.5" customHeight="1" x14ac:dyDescent="0.2">
      <c r="A19" s="6" t="s">
        <v>26</v>
      </c>
      <c r="B19" s="72">
        <f>86126+516</f>
        <v>86642</v>
      </c>
      <c r="C19" s="73">
        <v>70426</v>
      </c>
      <c r="D19" s="99"/>
      <c r="F19" s="185"/>
      <c r="G19" s="185"/>
    </row>
    <row r="20" spans="1:7" ht="13.5" customHeight="1" x14ac:dyDescent="0.2">
      <c r="A20" s="6" t="s">
        <v>27</v>
      </c>
      <c r="B20" s="155">
        <f>SUM(B11:B19)</f>
        <v>857305</v>
      </c>
      <c r="C20" s="71">
        <f>SUM(C11:C19)</f>
        <v>830994</v>
      </c>
      <c r="D20" s="99"/>
      <c r="F20" s="185"/>
      <c r="G20" s="185"/>
    </row>
    <row r="21" spans="1:7" ht="13.5" customHeight="1" x14ac:dyDescent="0.2">
      <c r="A21" s="3"/>
      <c r="B21" s="139"/>
      <c r="C21" s="70"/>
      <c r="D21" s="3"/>
      <c r="F21" s="185"/>
      <c r="G21" s="185"/>
    </row>
    <row r="22" spans="1:7" ht="13.5" customHeight="1" x14ac:dyDescent="0.2">
      <c r="A22" s="5" t="s">
        <v>28</v>
      </c>
      <c r="B22" s="107">
        <v>925559</v>
      </c>
      <c r="C22" s="71">
        <v>955948</v>
      </c>
      <c r="D22" s="3"/>
      <c r="E22" s="103"/>
      <c r="F22" s="185"/>
      <c r="G22" s="185"/>
    </row>
    <row r="23" spans="1:7" ht="13.5" customHeight="1" x14ac:dyDescent="0.2">
      <c r="A23" s="3"/>
      <c r="B23" s="139"/>
      <c r="C23" s="70"/>
      <c r="D23" s="3"/>
    </row>
    <row r="24" spans="1:7" ht="13.5" customHeight="1" x14ac:dyDescent="0.2">
      <c r="A24" s="5" t="s">
        <v>29</v>
      </c>
      <c r="B24" s="139"/>
      <c r="C24" s="70"/>
      <c r="D24" s="3"/>
    </row>
    <row r="25" spans="1:7" ht="13.5" customHeight="1" x14ac:dyDescent="0.2">
      <c r="A25" s="6" t="s">
        <v>30</v>
      </c>
      <c r="B25" s="29">
        <v>104189</v>
      </c>
      <c r="C25" s="71">
        <v>106107</v>
      </c>
      <c r="D25" s="3"/>
    </row>
    <row r="26" spans="1:7" ht="13.5" customHeight="1" x14ac:dyDescent="0.2">
      <c r="A26" s="6" t="s">
        <v>31</v>
      </c>
      <c r="B26" s="72">
        <f>10526+2+4280+47552</f>
        <v>62360</v>
      </c>
      <c r="C26" s="73">
        <v>86583</v>
      </c>
      <c r="D26" s="3"/>
    </row>
    <row r="27" spans="1:7" ht="13.5" customHeight="1" x14ac:dyDescent="0.2">
      <c r="A27" s="9" t="s">
        <v>32</v>
      </c>
      <c r="B27" s="73">
        <f>SUM(B25:B26)</f>
        <v>166549</v>
      </c>
      <c r="C27" s="73">
        <f>SUM(C25:C26)</f>
        <v>192690</v>
      </c>
      <c r="D27" s="3"/>
    </row>
    <row r="28" spans="1:7" ht="13.5" customHeight="1" thickBot="1" x14ac:dyDescent="0.25">
      <c r="A28" s="10" t="s">
        <v>33</v>
      </c>
      <c r="B28" s="74">
        <f>+B27+B22+B20</f>
        <v>1949413</v>
      </c>
      <c r="C28" s="74">
        <f>+C20+C22+C27</f>
        <v>1979632</v>
      </c>
      <c r="D28" s="3"/>
    </row>
    <row r="29" spans="1:7" ht="13.5" customHeight="1" thickTop="1" x14ac:dyDescent="0.2">
      <c r="A29" s="3"/>
      <c r="B29" s="139"/>
      <c r="C29" s="70"/>
      <c r="D29" s="3"/>
    </row>
    <row r="30" spans="1:7" ht="13.5" customHeight="1" x14ac:dyDescent="0.2">
      <c r="A30" s="5" t="s">
        <v>98</v>
      </c>
      <c r="B30" s="139"/>
      <c r="C30" s="70"/>
      <c r="D30" s="3"/>
    </row>
    <row r="31" spans="1:7" ht="13.5" customHeight="1" x14ac:dyDescent="0.2">
      <c r="A31" s="127" t="s">
        <v>80</v>
      </c>
      <c r="B31" s="139"/>
      <c r="C31" s="70"/>
      <c r="D31" s="3"/>
    </row>
    <row r="32" spans="1:7" ht="13.5" customHeight="1" x14ac:dyDescent="0.2">
      <c r="A32" s="6" t="s">
        <v>34</v>
      </c>
      <c r="B32" s="145">
        <f>131016+11</f>
        <v>131027</v>
      </c>
      <c r="C32" s="69">
        <v>134137</v>
      </c>
      <c r="D32" s="3"/>
    </row>
    <row r="33" spans="1:6" ht="13.5" customHeight="1" x14ac:dyDescent="0.2">
      <c r="A33" s="6" t="s">
        <v>35</v>
      </c>
      <c r="B33" s="29">
        <f>194725+5</f>
        <v>194730</v>
      </c>
      <c r="C33" s="71">
        <v>184161</v>
      </c>
      <c r="D33" s="3"/>
    </row>
    <row r="34" spans="1:6" ht="13.5" customHeight="1" x14ac:dyDescent="0.2">
      <c r="A34" s="6" t="s">
        <v>36</v>
      </c>
      <c r="B34" s="73">
        <v>12533</v>
      </c>
      <c r="C34" s="73">
        <v>15783</v>
      </c>
      <c r="D34" s="3"/>
    </row>
    <row r="35" spans="1:6" ht="13.5" customHeight="1" x14ac:dyDescent="0.2">
      <c r="A35" s="9" t="s">
        <v>37</v>
      </c>
      <c r="B35" s="107">
        <f>SUM(B32:B34)</f>
        <v>338290</v>
      </c>
      <c r="C35" s="71">
        <f>SUM(C32:C34)</f>
        <v>334081</v>
      </c>
      <c r="D35" s="3"/>
    </row>
    <row r="36" spans="1:6" ht="13.5" customHeight="1" x14ac:dyDescent="0.2">
      <c r="A36" s="6" t="s">
        <v>38</v>
      </c>
      <c r="B36" s="107">
        <v>305157</v>
      </c>
      <c r="C36" s="71">
        <v>310134</v>
      </c>
      <c r="D36" s="3"/>
    </row>
    <row r="37" spans="1:6" ht="13.5" customHeight="1" x14ac:dyDescent="0.2">
      <c r="A37" s="6" t="s">
        <v>39</v>
      </c>
      <c r="B37" s="29">
        <v>316341</v>
      </c>
      <c r="C37" s="71">
        <v>308855</v>
      </c>
      <c r="D37" s="3"/>
    </row>
    <row r="38" spans="1:6" ht="13.5" customHeight="1" x14ac:dyDescent="0.2">
      <c r="A38" s="6" t="s">
        <v>40</v>
      </c>
      <c r="B38" s="107">
        <v>7481</v>
      </c>
      <c r="C38" s="71">
        <v>14036</v>
      </c>
      <c r="D38" s="3"/>
    </row>
    <row r="39" spans="1:6" ht="13.5" customHeight="1" x14ac:dyDescent="0.2">
      <c r="A39" s="6" t="s">
        <v>41</v>
      </c>
      <c r="B39" s="107">
        <v>106934</v>
      </c>
      <c r="C39" s="71">
        <v>102369</v>
      </c>
      <c r="D39" s="3"/>
    </row>
    <row r="40" spans="1:6" ht="13.5" customHeight="1" x14ac:dyDescent="0.2">
      <c r="A40" s="6" t="s">
        <v>42</v>
      </c>
      <c r="B40" s="107">
        <v>185068</v>
      </c>
      <c r="C40" s="71">
        <v>184835</v>
      </c>
      <c r="D40" s="3"/>
    </row>
    <row r="41" spans="1:6" ht="13.5" hidden="1" customHeight="1" x14ac:dyDescent="0.2">
      <c r="A41" s="6" t="s">
        <v>25</v>
      </c>
      <c r="B41" s="107"/>
      <c r="C41" s="71">
        <v>0</v>
      </c>
      <c r="D41" s="3"/>
    </row>
    <row r="42" spans="1:6" ht="13.5" customHeight="1" x14ac:dyDescent="0.2">
      <c r="A42" s="6" t="s">
        <v>43</v>
      </c>
      <c r="B42" s="72">
        <f>49169+21+4</f>
        <v>49194</v>
      </c>
      <c r="C42" s="73">
        <v>59457</v>
      </c>
      <c r="D42" s="3"/>
    </row>
    <row r="43" spans="1:6" ht="13.5" customHeight="1" x14ac:dyDescent="0.2">
      <c r="A43" s="9" t="s">
        <v>81</v>
      </c>
      <c r="B43" s="107">
        <f>SUM(B35:B42)</f>
        <v>1308465</v>
      </c>
      <c r="C43" s="71">
        <f>SUM(C35:C42)</f>
        <v>1313767</v>
      </c>
      <c r="D43" s="11"/>
    </row>
    <row r="44" spans="1:6" ht="13.5" customHeight="1" x14ac:dyDescent="0.2">
      <c r="A44" s="3"/>
      <c r="B44" s="139"/>
      <c r="C44" s="70"/>
      <c r="D44" s="3"/>
    </row>
    <row r="45" spans="1:6" ht="13.5" customHeight="1" x14ac:dyDescent="0.2">
      <c r="A45" s="5" t="s">
        <v>97</v>
      </c>
      <c r="B45" s="139"/>
      <c r="C45" s="70"/>
      <c r="D45" s="3"/>
    </row>
    <row r="46" spans="1:6" ht="13.5" customHeight="1" x14ac:dyDescent="0.2">
      <c r="A46" s="6" t="s">
        <v>44</v>
      </c>
      <c r="B46" s="107">
        <v>250</v>
      </c>
      <c r="C46" s="71">
        <v>250</v>
      </c>
      <c r="D46" s="3"/>
    </row>
    <row r="47" spans="1:6" ht="13.5" customHeight="1" x14ac:dyDescent="0.2">
      <c r="A47" s="6" t="s">
        <v>45</v>
      </c>
      <c r="B47" s="107">
        <v>708127</v>
      </c>
      <c r="C47" s="71">
        <v>700125</v>
      </c>
      <c r="D47" s="3"/>
    </row>
    <row r="48" spans="1:6" ht="13.5" customHeight="1" x14ac:dyDescent="0.2">
      <c r="A48" s="6" t="s">
        <v>107</v>
      </c>
      <c r="B48" s="29">
        <v>333753</v>
      </c>
      <c r="C48" s="71">
        <v>247232</v>
      </c>
      <c r="D48" s="11"/>
      <c r="F48" s="141"/>
    </row>
    <row r="49" spans="1:6" s="170" customFormat="1" ht="13.5" customHeight="1" x14ac:dyDescent="0.2">
      <c r="A49" s="6" t="s">
        <v>108</v>
      </c>
      <c r="B49" s="29">
        <v>-418985</v>
      </c>
      <c r="C49" s="71">
        <v>-302109</v>
      </c>
      <c r="D49" s="11"/>
      <c r="E49" s="100"/>
      <c r="F49" s="141"/>
    </row>
    <row r="50" spans="1:6" ht="13.5" customHeight="1" x14ac:dyDescent="0.2">
      <c r="A50" s="6" t="s">
        <v>103</v>
      </c>
      <c r="B50" s="73">
        <v>17803</v>
      </c>
      <c r="C50" s="73">
        <v>20367</v>
      </c>
      <c r="D50" s="99"/>
    </row>
    <row r="51" spans="1:6" ht="13.5" customHeight="1" x14ac:dyDescent="0.2">
      <c r="A51" s="9" t="s">
        <v>104</v>
      </c>
      <c r="B51" s="75">
        <f>SUM(B46:B50)</f>
        <v>640948</v>
      </c>
      <c r="C51" s="75">
        <f>SUM(C46:C50)</f>
        <v>665865</v>
      </c>
      <c r="D51" s="3"/>
    </row>
    <row r="52" spans="1:6" ht="13.5" customHeight="1" thickBot="1" x14ac:dyDescent="0.25">
      <c r="A52" s="10" t="s">
        <v>105</v>
      </c>
      <c r="B52" s="74">
        <f>+B43+B51</f>
        <v>1949413</v>
      </c>
      <c r="C52" s="74">
        <f>+C43+C51</f>
        <v>1979632</v>
      </c>
      <c r="D52" s="3"/>
    </row>
    <row r="53" spans="1:6" ht="13.5" customHeight="1" thickTop="1" x14ac:dyDescent="0.2">
      <c r="A53" s="3"/>
      <c r="B53" s="3"/>
      <c r="C53" s="3"/>
      <c r="D53" s="3"/>
    </row>
    <row r="54" spans="1:6" ht="13.5" customHeight="1" x14ac:dyDescent="0.2">
      <c r="B54" s="42"/>
      <c r="C54" s="42"/>
    </row>
    <row r="55" spans="1:6" ht="13.5" customHeight="1" x14ac:dyDescent="0.2">
      <c r="B55" s="113"/>
      <c r="C55" s="42"/>
      <c r="E55" s="100" t="s">
        <v>112</v>
      </c>
      <c r="F55" s="113">
        <f>C48</f>
        <v>247232</v>
      </c>
    </row>
    <row r="56" spans="1:6" ht="13.5" customHeight="1" x14ac:dyDescent="0.2">
      <c r="B56" s="42"/>
      <c r="E56" s="100" t="s">
        <v>113</v>
      </c>
      <c r="F56" s="113">
        <f>'Statements of Operations'!E40</f>
        <v>103291</v>
      </c>
    </row>
    <row r="57" spans="1:6" ht="13.5" customHeight="1" x14ac:dyDescent="0.2">
      <c r="B57" s="42"/>
      <c r="E57" s="100" t="s">
        <v>114</v>
      </c>
      <c r="F57" s="183">
        <f>-F61-F62</f>
        <v>-16770</v>
      </c>
    </row>
    <row r="58" spans="1:6" ht="13.5" customHeight="1" x14ac:dyDescent="0.2">
      <c r="F58" s="113"/>
    </row>
    <row r="59" spans="1:6" ht="13.5" customHeight="1" thickBot="1" x14ac:dyDescent="0.25">
      <c r="F59" s="184">
        <f>SUM(F55:F58)</f>
        <v>333753</v>
      </c>
    </row>
    <row r="60" spans="1:6" ht="13.5" customHeight="1" thickTop="1" x14ac:dyDescent="0.2">
      <c r="F60" s="113"/>
    </row>
    <row r="61" spans="1:6" ht="13.5" customHeight="1" x14ac:dyDescent="0.2">
      <c r="E61" s="100" t="s">
        <v>50</v>
      </c>
      <c r="F61" s="113">
        <v>16333</v>
      </c>
    </row>
    <row r="62" spans="1:6" ht="13.5" customHeight="1" x14ac:dyDescent="0.2">
      <c r="E62" s="100" t="s">
        <v>115</v>
      </c>
      <c r="F62" s="42">
        <v>437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3"/>
  <sheetViews>
    <sheetView workbookViewId="0">
      <selection activeCell="G12" sqref="G12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38" customWidth="1"/>
    <col min="4" max="4" width="21.5" style="23" customWidth="1"/>
    <col min="5" max="5" width="0" style="23" hidden="1" customWidth="1"/>
    <col min="6" max="6" width="0" style="294" hidden="1" customWidth="1"/>
    <col min="7" max="16384" width="21.5" style="23"/>
  </cols>
  <sheetData>
    <row r="1" spans="1:21" ht="14.25" customHeight="1" x14ac:dyDescent="0.25">
      <c r="A1" s="303" t="s">
        <v>0</v>
      </c>
      <c r="B1" s="305"/>
      <c r="C1" s="305"/>
      <c r="D1" s="21"/>
      <c r="E1" s="21"/>
      <c r="F1" s="29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.25" customHeight="1" x14ac:dyDescent="0.25">
      <c r="A2" s="303" t="s">
        <v>67</v>
      </c>
      <c r="B2" s="305"/>
      <c r="C2" s="305"/>
      <c r="D2" s="21"/>
      <c r="E2" s="21"/>
      <c r="F2" s="29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 customHeight="1" x14ac:dyDescent="0.25">
      <c r="A3" s="303" t="s">
        <v>15</v>
      </c>
      <c r="B3" s="305"/>
      <c r="C3" s="305"/>
      <c r="D3" s="21"/>
      <c r="E3" s="21"/>
      <c r="F3" s="29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6.75" customHeight="1" x14ac:dyDescent="0.2">
      <c r="A4" s="22"/>
      <c r="B4" s="21"/>
      <c r="C4" s="25"/>
      <c r="D4" s="21"/>
      <c r="E4" s="21"/>
      <c r="F4" s="29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5"/>
      <c r="D5" s="21"/>
      <c r="E5" s="21"/>
      <c r="F5" s="29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3.5" customHeight="1" x14ac:dyDescent="0.2">
      <c r="A6" s="21"/>
      <c r="B6" s="301" t="s">
        <v>204</v>
      </c>
      <c r="C6" s="301"/>
      <c r="D6" s="21"/>
      <c r="E6" s="296" t="s">
        <v>214</v>
      </c>
      <c r="F6" s="296" t="s">
        <v>214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21"/>
      <c r="B7" s="148">
        <v>2018</v>
      </c>
      <c r="C7" s="265">
        <v>2017</v>
      </c>
      <c r="D7" s="21"/>
      <c r="E7" s="295" t="s">
        <v>215</v>
      </c>
      <c r="F7" s="295" t="s">
        <v>216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3.5" customHeight="1" x14ac:dyDescent="0.2">
      <c r="A8" s="21"/>
      <c r="B8" s="306" t="s">
        <v>3</v>
      </c>
      <c r="C8" s="306"/>
      <c r="D8" s="21"/>
      <c r="E8" s="21"/>
      <c r="F8" s="293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3.5" customHeight="1" x14ac:dyDescent="0.2">
      <c r="A9" s="24" t="s">
        <v>66</v>
      </c>
      <c r="B9" s="25"/>
      <c r="C9" s="25"/>
      <c r="D9" s="21"/>
      <c r="E9" s="21"/>
      <c r="F9" s="29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3.5" customHeight="1" x14ac:dyDescent="0.2">
      <c r="A10" s="20" t="s">
        <v>120</v>
      </c>
      <c r="B10" s="154">
        <f>'Statements of Operations'!E40</f>
        <v>103291</v>
      </c>
      <c r="C10" s="154">
        <f>'Statements of Operations'!F40</f>
        <v>88828</v>
      </c>
      <c r="D10" s="11"/>
      <c r="E10" s="154">
        <v>59985</v>
      </c>
      <c r="F10" s="154">
        <f>B10-E10</f>
        <v>43306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3.5" customHeight="1" x14ac:dyDescent="0.2">
      <c r="A11" s="20" t="s">
        <v>201</v>
      </c>
      <c r="B11" s="116"/>
      <c r="C11" s="116"/>
      <c r="D11" s="21"/>
      <c r="E11" s="116"/>
      <c r="F11" s="116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3.5" customHeight="1" x14ac:dyDescent="0.2">
      <c r="A12" s="6" t="s">
        <v>7</v>
      </c>
      <c r="B12" s="29">
        <f>'Statements of Operations'!E14</f>
        <v>60252</v>
      </c>
      <c r="C12" s="29">
        <f>'Statements of Operations'!F14</f>
        <v>62622</v>
      </c>
      <c r="D12" s="21"/>
      <c r="E12" s="29">
        <v>29703</v>
      </c>
      <c r="F12" s="29">
        <f>B12-E12</f>
        <v>30549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25" customFormat="1" ht="13.5" customHeight="1" x14ac:dyDescent="0.2">
      <c r="A13" s="6" t="s">
        <v>83</v>
      </c>
      <c r="B13" s="29">
        <f>'Statements of Operations'!E15</f>
        <v>13985</v>
      </c>
      <c r="C13" s="29">
        <f>'Statements of Operations'!F15</f>
        <v>15246</v>
      </c>
      <c r="D13" s="124"/>
      <c r="E13" s="29">
        <v>6992</v>
      </c>
      <c r="F13" s="29">
        <f t="shared" ref="F13:F20" si="0">B13-E13</f>
        <v>6993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 ht="13.5" customHeight="1" x14ac:dyDescent="0.2">
      <c r="A14" s="6" t="s">
        <v>85</v>
      </c>
      <c r="B14" s="29">
        <f>'Statements of Operations'!E16</f>
        <v>6299</v>
      </c>
      <c r="C14" s="29">
        <f>'Statements of Operations'!F16</f>
        <v>29042</v>
      </c>
      <c r="D14" s="21"/>
      <c r="E14" s="29">
        <v>3051</v>
      </c>
      <c r="F14" s="29">
        <f t="shared" si="0"/>
        <v>3248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 customHeight="1" x14ac:dyDescent="0.2">
      <c r="A15" s="6" t="s">
        <v>65</v>
      </c>
      <c r="B15" s="29">
        <v>0</v>
      </c>
      <c r="C15" s="29">
        <v>2288</v>
      </c>
      <c r="D15" s="11"/>
      <c r="E15" s="29">
        <v>0</v>
      </c>
      <c r="F15" s="29">
        <f t="shared" si="0"/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87" customFormat="1" ht="13.5" customHeight="1" x14ac:dyDescent="0.2">
      <c r="A16" s="6" t="s">
        <v>25</v>
      </c>
      <c r="B16" s="29">
        <v>8730</v>
      </c>
      <c r="C16" s="29">
        <v>5996</v>
      </c>
      <c r="D16" s="11"/>
      <c r="E16" s="29">
        <v>12127</v>
      </c>
      <c r="F16" s="29">
        <f t="shared" si="0"/>
        <v>-3397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3.5" customHeight="1" x14ac:dyDescent="0.2">
      <c r="A17" s="6" t="s">
        <v>64</v>
      </c>
      <c r="B17" s="29">
        <v>7992</v>
      </c>
      <c r="C17" s="29">
        <v>4942</v>
      </c>
      <c r="D17" s="21"/>
      <c r="E17" s="29">
        <v>3845</v>
      </c>
      <c r="F17" s="29">
        <f t="shared" si="0"/>
        <v>4147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87" customFormat="1" ht="13.5" customHeight="1" x14ac:dyDescent="0.2">
      <c r="A18" s="6" t="s">
        <v>63</v>
      </c>
      <c r="B18" s="29">
        <v>131</v>
      </c>
      <c r="C18" s="29">
        <v>-2005</v>
      </c>
      <c r="D18" s="86"/>
      <c r="E18" s="29">
        <v>134</v>
      </c>
      <c r="F18" s="29">
        <f t="shared" si="0"/>
        <v>-3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s="102" customFormat="1" ht="13.5" customHeight="1" x14ac:dyDescent="0.2">
      <c r="A19" s="55" t="s">
        <v>76</v>
      </c>
      <c r="B19" s="29">
        <v>485</v>
      </c>
      <c r="C19" s="29">
        <v>2061</v>
      </c>
      <c r="D19" s="101"/>
      <c r="E19" s="29">
        <v>0</v>
      </c>
      <c r="F19" s="29">
        <f t="shared" si="0"/>
        <v>485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3.5" customHeight="1" x14ac:dyDescent="0.2">
      <c r="A20" s="6" t="s">
        <v>62</v>
      </c>
      <c r="B20" s="29">
        <v>2170</v>
      </c>
      <c r="C20" s="29">
        <v>1565</v>
      </c>
      <c r="D20" s="21"/>
      <c r="E20" s="29">
        <v>1080</v>
      </c>
      <c r="F20" s="29">
        <f t="shared" si="0"/>
        <v>1090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87" customFormat="1" ht="13.5" hidden="1" customHeight="1" x14ac:dyDescent="0.2">
      <c r="A21" s="6" t="s">
        <v>76</v>
      </c>
      <c r="B21" s="29"/>
      <c r="C21" s="29"/>
      <c r="D21" s="86"/>
      <c r="E21" s="29"/>
      <c r="F21" s="2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3.5" customHeight="1" x14ac:dyDescent="0.2">
      <c r="A22" s="6" t="s">
        <v>61</v>
      </c>
      <c r="B22" s="116"/>
      <c r="C22" s="116"/>
      <c r="D22" s="21"/>
      <c r="E22" s="116"/>
      <c r="F22" s="11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3.5" customHeight="1" x14ac:dyDescent="0.2">
      <c r="A23" s="9" t="s">
        <v>60</v>
      </c>
      <c r="B23" s="29">
        <v>-20212</v>
      </c>
      <c r="C23" s="29">
        <v>-3864</v>
      </c>
      <c r="D23" s="21"/>
      <c r="E23" s="29">
        <v>-28728</v>
      </c>
      <c r="F23" s="29">
        <f t="shared" ref="F23:F27" si="1">B23-E23</f>
        <v>8516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3.5" customHeight="1" x14ac:dyDescent="0.2">
      <c r="A24" s="9" t="s">
        <v>22</v>
      </c>
      <c r="B24" s="29">
        <v>-28245</v>
      </c>
      <c r="C24" s="29">
        <v>-23594</v>
      </c>
      <c r="D24" s="21"/>
      <c r="E24" s="29">
        <v>-14871</v>
      </c>
      <c r="F24" s="29">
        <f t="shared" si="1"/>
        <v>-13374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3.5" customHeight="1" x14ac:dyDescent="0.2">
      <c r="A25" s="9" t="s">
        <v>59</v>
      </c>
      <c r="B25" s="29">
        <v>-11879</v>
      </c>
      <c r="C25" s="29">
        <v>-89</v>
      </c>
      <c r="D25" s="11"/>
      <c r="E25" s="29">
        <v>-26052</v>
      </c>
      <c r="F25" s="29">
        <f t="shared" si="1"/>
        <v>14173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89" customFormat="1" ht="13.5" customHeight="1" x14ac:dyDescent="0.2">
      <c r="A26" s="9" t="s">
        <v>99</v>
      </c>
      <c r="B26" s="29">
        <f>11613-53</f>
        <v>11560</v>
      </c>
      <c r="C26" s="29">
        <v>-3796</v>
      </c>
      <c r="D26" s="11"/>
      <c r="E26" s="29">
        <v>11596</v>
      </c>
      <c r="F26" s="29">
        <f t="shared" si="1"/>
        <v>-36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ht="13.5" customHeight="1" x14ac:dyDescent="0.2">
      <c r="A27" s="32" t="s">
        <v>49</v>
      </c>
      <c r="B27" s="29">
        <f>94+232-551-4436+6354+9723-6499+234+4565-19281+2</f>
        <v>-9563</v>
      </c>
      <c r="C27" s="29">
        <v>21557</v>
      </c>
      <c r="D27" s="11"/>
      <c r="E27" s="29">
        <v>8005</v>
      </c>
      <c r="F27" s="29">
        <f t="shared" si="1"/>
        <v>-17568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3.5" customHeight="1" x14ac:dyDescent="0.2">
      <c r="A28" s="28" t="s">
        <v>173</v>
      </c>
      <c r="B28" s="76">
        <f>SUM(B10:B27)</f>
        <v>144996</v>
      </c>
      <c r="C28" s="76">
        <f>SUM(C10:C27)</f>
        <v>200799</v>
      </c>
      <c r="D28" s="7"/>
      <c r="E28" s="76">
        <f>SUM(E10:E27)</f>
        <v>66867</v>
      </c>
      <c r="F28" s="76">
        <f>SUM(F10:F27)</f>
        <v>78129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3.5" customHeight="1" x14ac:dyDescent="0.2">
      <c r="A29" s="21"/>
      <c r="B29" s="214"/>
      <c r="C29" s="214"/>
      <c r="D29" s="21"/>
      <c r="E29" s="214"/>
      <c r="F29" s="214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3.5" customHeight="1" x14ac:dyDescent="0.2">
      <c r="A30" s="24" t="s">
        <v>58</v>
      </c>
      <c r="B30" s="116"/>
      <c r="C30" s="116"/>
      <c r="D30" s="21"/>
      <c r="E30" s="116"/>
      <c r="F30" s="11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3.5" customHeight="1" x14ac:dyDescent="0.2">
      <c r="A31" s="6" t="s">
        <v>57</v>
      </c>
      <c r="B31" s="29">
        <v>-30049</v>
      </c>
      <c r="C31" s="29">
        <v>-16922</v>
      </c>
      <c r="D31" s="21"/>
      <c r="E31" s="29">
        <v>-9453</v>
      </c>
      <c r="F31" s="29">
        <f t="shared" ref="F31:F36" si="2">B31-E31</f>
        <v>-20596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3.5" customHeight="1" x14ac:dyDescent="0.2">
      <c r="A32" s="6" t="s">
        <v>82</v>
      </c>
      <c r="B32" s="29">
        <v>-124</v>
      </c>
      <c r="C32" s="29">
        <v>-4211</v>
      </c>
      <c r="D32" s="21"/>
      <c r="E32" s="29">
        <v>-62</v>
      </c>
      <c r="F32" s="29">
        <f t="shared" si="2"/>
        <v>-62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3.5" customHeight="1" x14ac:dyDescent="0.2">
      <c r="A33" s="6" t="s">
        <v>202</v>
      </c>
      <c r="B33" s="29">
        <v>56</v>
      </c>
      <c r="C33" s="29">
        <v>4186</v>
      </c>
      <c r="D33" s="21"/>
      <c r="E33" s="29">
        <v>54</v>
      </c>
      <c r="F33" s="29">
        <f t="shared" si="2"/>
        <v>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3.5" customHeight="1" x14ac:dyDescent="0.2">
      <c r="A34" s="6" t="s">
        <v>56</v>
      </c>
      <c r="B34" s="29">
        <v>-110359</v>
      </c>
      <c r="C34" s="29">
        <v>-157364</v>
      </c>
      <c r="D34" s="21"/>
      <c r="E34" s="29">
        <v>-38458</v>
      </c>
      <c r="F34" s="29">
        <f t="shared" si="2"/>
        <v>-71901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3.5" customHeight="1" x14ac:dyDescent="0.2">
      <c r="A35" s="6" t="s">
        <v>55</v>
      </c>
      <c r="B35" s="29">
        <v>105150</v>
      </c>
      <c r="C35" s="29">
        <v>85035</v>
      </c>
      <c r="D35" s="21"/>
      <c r="E35" s="29">
        <v>49400</v>
      </c>
      <c r="F35" s="29">
        <f t="shared" si="2"/>
        <v>55750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 customHeight="1" x14ac:dyDescent="0.2">
      <c r="A36" s="6" t="s">
        <v>54</v>
      </c>
      <c r="B36" s="72">
        <v>0</v>
      </c>
      <c r="C36" s="72">
        <v>-8934</v>
      </c>
      <c r="D36" s="21"/>
      <c r="E36" s="72">
        <v>0</v>
      </c>
      <c r="F36" s="72">
        <f t="shared" si="2"/>
        <v>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3.5" customHeight="1" x14ac:dyDescent="0.2">
      <c r="A37" s="28" t="s">
        <v>212</v>
      </c>
      <c r="B37" s="29">
        <f>SUM(B31:B36)</f>
        <v>-35326</v>
      </c>
      <c r="C37" s="29">
        <f>SUM(C31:C36)</f>
        <v>-98210</v>
      </c>
      <c r="D37" s="11"/>
      <c r="E37" s="29">
        <f>SUM(E31:E36)</f>
        <v>1481</v>
      </c>
      <c r="F37" s="29">
        <f>SUM(F31:F36)</f>
        <v>-36807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 customHeight="1" x14ac:dyDescent="0.2">
      <c r="A38" s="21"/>
      <c r="B38" s="116"/>
      <c r="C38" s="116"/>
      <c r="D38" s="21"/>
      <c r="E38" s="116"/>
      <c r="F38" s="116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3.5" customHeight="1" x14ac:dyDescent="0.2">
      <c r="A39" s="24" t="s">
        <v>53</v>
      </c>
      <c r="B39" s="116"/>
      <c r="C39" s="116"/>
      <c r="D39" s="21"/>
      <c r="E39" s="116"/>
      <c r="F39" s="116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164" customFormat="1" ht="13.5" customHeight="1" x14ac:dyDescent="0.2">
      <c r="A40" s="6" t="s">
        <v>102</v>
      </c>
      <c r="B40" s="29">
        <v>0</v>
      </c>
      <c r="C40" s="267">
        <v>298500</v>
      </c>
      <c r="D40" s="163"/>
      <c r="E40" s="29">
        <v>0</v>
      </c>
      <c r="F40" s="29">
        <f t="shared" ref="F40:F48" si="3">B40-E40</f>
        <v>0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ht="13.5" customHeight="1" x14ac:dyDescent="0.2">
      <c r="A41" s="6" t="s">
        <v>101</v>
      </c>
      <c r="B41" s="29">
        <v>0</v>
      </c>
      <c r="C41" s="29">
        <v>-325684</v>
      </c>
      <c r="D41" s="21"/>
      <c r="E41" s="29">
        <v>0</v>
      </c>
      <c r="F41" s="29">
        <f t="shared" si="3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70" customFormat="1" ht="13.5" customHeight="1" x14ac:dyDescent="0.2">
      <c r="A42" s="6" t="s">
        <v>174</v>
      </c>
      <c r="B42" s="29">
        <v>-1500</v>
      </c>
      <c r="C42" s="29">
        <v>-750</v>
      </c>
      <c r="D42" s="269"/>
      <c r="E42" s="29">
        <v>-750</v>
      </c>
      <c r="F42" s="29">
        <f t="shared" si="3"/>
        <v>-750</v>
      </c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</row>
    <row r="43" spans="1:21" ht="13.5" customHeight="1" x14ac:dyDescent="0.2">
      <c r="A43" s="6" t="s">
        <v>52</v>
      </c>
      <c r="B43" s="29">
        <v>-7307</v>
      </c>
      <c r="C43" s="29">
        <v>-5207</v>
      </c>
      <c r="D43" s="21"/>
      <c r="E43" s="29">
        <v>-3431</v>
      </c>
      <c r="F43" s="29">
        <f t="shared" si="3"/>
        <v>-3876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125" customFormat="1" ht="13.5" customHeight="1" x14ac:dyDescent="0.2">
      <c r="A44" s="6" t="s">
        <v>51</v>
      </c>
      <c r="B44" s="29">
        <v>-529</v>
      </c>
      <c r="C44" s="29">
        <v>-8900</v>
      </c>
      <c r="D44" s="124"/>
      <c r="E44" s="29">
        <v>0</v>
      </c>
      <c r="F44" s="29">
        <f t="shared" si="3"/>
        <v>-529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s="80" customFormat="1" ht="13.5" customHeight="1" x14ac:dyDescent="0.2">
      <c r="A45" s="55" t="s">
        <v>76</v>
      </c>
      <c r="B45" s="29">
        <v>-50</v>
      </c>
      <c r="C45" s="29">
        <v>-2061</v>
      </c>
      <c r="D45" s="79"/>
      <c r="E45" s="29">
        <v>0</v>
      </c>
      <c r="F45" s="29">
        <f t="shared" si="3"/>
        <v>-50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3.5" customHeight="1" x14ac:dyDescent="0.2">
      <c r="A46" s="6" t="s">
        <v>50</v>
      </c>
      <c r="B46" s="29">
        <v>-16333</v>
      </c>
      <c r="C46" s="29">
        <v>-8563</v>
      </c>
      <c r="D46" s="21"/>
      <c r="E46" s="29">
        <v>-8335</v>
      </c>
      <c r="F46" s="29">
        <f t="shared" si="3"/>
        <v>-7998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34" customFormat="1" ht="13.5" customHeight="1" x14ac:dyDescent="0.2">
      <c r="A47" s="6" t="s">
        <v>109</v>
      </c>
      <c r="B47" s="29">
        <v>-115973</v>
      </c>
      <c r="C47" s="29">
        <v>-51043</v>
      </c>
      <c r="D47" s="33"/>
      <c r="E47" s="29">
        <v>-38186</v>
      </c>
      <c r="F47" s="29">
        <f t="shared" si="3"/>
        <v>-77787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53" customFormat="1" ht="13.5" customHeight="1" x14ac:dyDescent="0.2">
      <c r="A48" s="6" t="s">
        <v>49</v>
      </c>
      <c r="B48" s="72">
        <v>10</v>
      </c>
      <c r="C48" s="72">
        <v>0</v>
      </c>
      <c r="D48" s="52"/>
      <c r="E48" s="72">
        <v>10</v>
      </c>
      <c r="F48" s="72">
        <f t="shared" si="3"/>
        <v>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3.5" customHeight="1" x14ac:dyDescent="0.2">
      <c r="A49" s="9" t="s">
        <v>175</v>
      </c>
      <c r="B49" s="72">
        <f>SUM(B40:B48)</f>
        <v>-141682</v>
      </c>
      <c r="C49" s="72">
        <f>SUM(C40:C48)</f>
        <v>-103708</v>
      </c>
      <c r="D49" s="21"/>
      <c r="E49" s="72">
        <f>SUM(E40:E48)</f>
        <v>-50692</v>
      </c>
      <c r="F49" s="72">
        <f>SUM(F40:F48)</f>
        <v>-90990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 customHeight="1" x14ac:dyDescent="0.2">
      <c r="A50" s="21"/>
      <c r="B50" s="116"/>
      <c r="C50" s="116"/>
      <c r="D50" s="21"/>
      <c r="E50" s="116"/>
      <c r="F50" s="11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3.5" customHeight="1" x14ac:dyDescent="0.2">
      <c r="A51" s="20" t="s">
        <v>213</v>
      </c>
      <c r="B51" s="29">
        <f>+B49+B37+B28</f>
        <v>-32012</v>
      </c>
      <c r="C51" s="29">
        <f>C28+C37+C49</f>
        <v>-1119</v>
      </c>
      <c r="D51" s="21"/>
      <c r="E51" s="29">
        <f>+E49+E37+E28</f>
        <v>17656</v>
      </c>
      <c r="F51" s="29">
        <f>+F49+F37+F28</f>
        <v>-49668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3.5" customHeight="1" x14ac:dyDescent="0.2">
      <c r="A52" s="20" t="s">
        <v>188</v>
      </c>
      <c r="B52" s="72">
        <f>273387+215</f>
        <v>273602</v>
      </c>
      <c r="C52" s="72">
        <f>305372+71050</f>
        <v>376422</v>
      </c>
      <c r="D52" s="21"/>
      <c r="E52" s="72">
        <f>273387+215</f>
        <v>273602</v>
      </c>
      <c r="F52" s="72">
        <v>291258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3.5" customHeight="1" x14ac:dyDescent="0.2">
      <c r="A53" s="21"/>
      <c r="B53" s="116"/>
      <c r="C53" s="116"/>
      <c r="D53" s="21"/>
      <c r="E53" s="116"/>
      <c r="F53" s="116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3.5" customHeight="1" thickBot="1" x14ac:dyDescent="0.25">
      <c r="A54" s="20" t="s">
        <v>189</v>
      </c>
      <c r="B54" s="65">
        <f>+B51+B52</f>
        <v>241590</v>
      </c>
      <c r="C54" s="65">
        <f>SUM(C51:C52)</f>
        <v>375303</v>
      </c>
      <c r="D54" s="21"/>
      <c r="E54" s="65">
        <f>+E51+E52</f>
        <v>291258</v>
      </c>
      <c r="F54" s="65">
        <f>+F51+F52</f>
        <v>241590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8.75" customHeight="1" thickTop="1" x14ac:dyDescent="0.2">
      <c r="A55" s="21"/>
      <c r="B55" s="66"/>
      <c r="C55" s="116"/>
      <c r="D55" s="21"/>
      <c r="E55" s="292"/>
      <c r="F55" s="29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8.75" customHeight="1" x14ac:dyDescent="0.2">
      <c r="A56" s="271" t="s">
        <v>189</v>
      </c>
      <c r="B56" s="71"/>
      <c r="C56" s="107"/>
      <c r="D56" s="21"/>
      <c r="E56" s="71"/>
      <c r="F56" s="7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8.75" customHeight="1" x14ac:dyDescent="0.2">
      <c r="A57" s="6" t="s">
        <v>18</v>
      </c>
      <c r="B57" s="81">
        <f>'Balance Sheet'!B11</f>
        <v>241590</v>
      </c>
      <c r="C57" s="219">
        <v>333548</v>
      </c>
      <c r="D57" s="21"/>
      <c r="E57" s="81">
        <v>288332</v>
      </c>
      <c r="F57" s="81">
        <v>241590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8.75" customHeight="1" x14ac:dyDescent="0.2">
      <c r="A58" s="6" t="s">
        <v>170</v>
      </c>
      <c r="B58" s="72">
        <v>0</v>
      </c>
      <c r="C58" s="272">
        <v>41755</v>
      </c>
      <c r="D58" s="21"/>
      <c r="E58" s="72">
        <v>2926</v>
      </c>
      <c r="F58" s="72">
        <v>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3.5" customHeight="1" x14ac:dyDescent="0.2">
      <c r="A59" s="21"/>
      <c r="B59" s="81"/>
      <c r="C59" s="219"/>
      <c r="D59" s="21"/>
      <c r="E59" s="81"/>
      <c r="F59" s="8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8.75" customHeight="1" thickBot="1" x14ac:dyDescent="0.25">
      <c r="A60" s="21"/>
      <c r="B60" s="273">
        <f>SUM(B57:B59)</f>
        <v>241590</v>
      </c>
      <c r="C60" s="273">
        <f>SUM(C57:C59)</f>
        <v>375303</v>
      </c>
      <c r="D60" s="21"/>
      <c r="E60" s="273">
        <f>SUM(E57:E59)</f>
        <v>291258</v>
      </c>
      <c r="F60" s="273">
        <f>SUM(F57:F59)</f>
        <v>241590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8.75" customHeight="1" thickTop="1" x14ac:dyDescent="0.2">
      <c r="A61" s="21"/>
      <c r="B61" s="66"/>
      <c r="C61" s="116"/>
      <c r="D61" s="21"/>
      <c r="E61" s="21"/>
      <c r="F61" s="29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8.75" customHeight="1" x14ac:dyDescent="0.2">
      <c r="A62" s="21"/>
      <c r="B62" s="66"/>
      <c r="C62" s="116"/>
      <c r="D62" s="21"/>
      <c r="E62" s="21"/>
      <c r="F62" s="293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8.75" customHeight="1" x14ac:dyDescent="0.2">
      <c r="A63" s="21"/>
      <c r="B63" s="66"/>
      <c r="C63" s="116"/>
      <c r="D63" s="21"/>
      <c r="E63" s="21"/>
      <c r="F63" s="29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8.75" customHeight="1" x14ac:dyDescent="0.2">
      <c r="A64" s="21"/>
      <c r="B64" s="66"/>
      <c r="C64" s="116"/>
      <c r="D64" s="21"/>
      <c r="E64" s="21"/>
      <c r="F64" s="293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8.75" customHeight="1" x14ac:dyDescent="0.2">
      <c r="A65" s="21"/>
      <c r="B65" s="66"/>
      <c r="C65" s="116"/>
      <c r="D65" s="21"/>
      <c r="E65" s="21"/>
      <c r="F65" s="293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8.75" customHeight="1" x14ac:dyDescent="0.2">
      <c r="A66" s="21"/>
      <c r="B66" s="66"/>
      <c r="C66" s="116"/>
      <c r="D66" s="21"/>
      <c r="E66" s="21"/>
      <c r="F66" s="293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8.75" customHeight="1" x14ac:dyDescent="0.2">
      <c r="A67" s="21"/>
      <c r="B67" s="66"/>
      <c r="C67" s="116"/>
      <c r="D67" s="21"/>
      <c r="E67" s="21"/>
      <c r="F67" s="293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8.75" customHeight="1" x14ac:dyDescent="0.2">
      <c r="A68" s="21"/>
      <c r="B68" s="66"/>
      <c r="C68" s="116"/>
      <c r="D68" s="21"/>
      <c r="E68" s="21"/>
      <c r="F68" s="293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8.75" customHeight="1" x14ac:dyDescent="0.2">
      <c r="A69" s="21"/>
      <c r="B69" s="66"/>
      <c r="C69" s="116"/>
      <c r="D69" s="21"/>
      <c r="E69" s="21"/>
      <c r="F69" s="293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8.75" customHeight="1" x14ac:dyDescent="0.2">
      <c r="A70" s="21"/>
      <c r="B70" s="66"/>
      <c r="C70" s="116"/>
      <c r="D70" s="21"/>
      <c r="E70" s="21"/>
      <c r="F70" s="293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8.75" customHeight="1" x14ac:dyDescent="0.2">
      <c r="A71" s="21"/>
      <c r="B71" s="66"/>
      <c r="C71" s="116"/>
      <c r="D71" s="21"/>
      <c r="E71" s="21"/>
      <c r="F71" s="293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8.75" customHeight="1" x14ac:dyDescent="0.2">
      <c r="A72" s="21"/>
      <c r="B72" s="66"/>
      <c r="C72" s="116"/>
      <c r="D72" s="21"/>
      <c r="E72" s="21"/>
      <c r="F72" s="293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8.75" customHeight="1" x14ac:dyDescent="0.2">
      <c r="A73" s="21"/>
      <c r="B73" s="21"/>
      <c r="C73" s="25"/>
      <c r="D73" s="21"/>
      <c r="E73" s="21"/>
      <c r="F73" s="293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8.75" customHeight="1" x14ac:dyDescent="0.2">
      <c r="A74" s="21"/>
      <c r="B74" s="21"/>
      <c r="C74" s="25"/>
      <c r="D74" s="21"/>
      <c r="E74" s="21"/>
      <c r="F74" s="293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8.75" customHeight="1" x14ac:dyDescent="0.2">
      <c r="A75" s="21"/>
      <c r="B75" s="21"/>
      <c r="C75" s="25"/>
      <c r="D75" s="21"/>
      <c r="E75" s="21"/>
      <c r="F75" s="29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8.75" customHeight="1" x14ac:dyDescent="0.2">
      <c r="A76" s="21"/>
      <c r="B76" s="21"/>
      <c r="C76" s="25"/>
      <c r="D76" s="21"/>
      <c r="E76" s="21"/>
      <c r="F76" s="29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8.75" customHeight="1" x14ac:dyDescent="0.2">
      <c r="A77" s="21"/>
      <c r="B77" s="21"/>
      <c r="C77" s="25"/>
      <c r="D77" s="21"/>
      <c r="E77" s="21"/>
      <c r="F77" s="29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8.75" customHeight="1" x14ac:dyDescent="0.2">
      <c r="A78" s="21"/>
      <c r="B78" s="21"/>
      <c r="C78" s="25"/>
      <c r="D78" s="21"/>
      <c r="E78" s="21"/>
      <c r="F78" s="29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8.75" customHeight="1" x14ac:dyDescent="0.2">
      <c r="A79" s="21"/>
      <c r="B79" s="21"/>
      <c r="C79" s="25"/>
      <c r="D79" s="21"/>
      <c r="E79" s="21"/>
      <c r="F79" s="29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8.75" customHeight="1" x14ac:dyDescent="0.2">
      <c r="A80" s="21"/>
      <c r="B80" s="21"/>
      <c r="C80" s="25"/>
      <c r="D80" s="21"/>
      <c r="E80" s="21"/>
      <c r="F80" s="293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8.75" customHeight="1" x14ac:dyDescent="0.2">
      <c r="A81" s="21"/>
      <c r="B81" s="21"/>
      <c r="C81" s="25"/>
      <c r="D81" s="21"/>
      <c r="E81" s="21"/>
      <c r="F81" s="293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8.75" customHeight="1" x14ac:dyDescent="0.2">
      <c r="A82" s="21"/>
      <c r="B82" s="21"/>
      <c r="C82" s="25"/>
      <c r="D82" s="21"/>
      <c r="E82" s="21"/>
      <c r="F82" s="293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8.75" customHeight="1" x14ac:dyDescent="0.2">
      <c r="A83" s="21"/>
      <c r="B83" s="21"/>
      <c r="C83" s="25"/>
      <c r="D83" s="21"/>
      <c r="E83" s="21"/>
      <c r="F83" s="293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8.75" customHeight="1" x14ac:dyDescent="0.2">
      <c r="A84" s="21"/>
      <c r="B84" s="21"/>
      <c r="C84" s="25"/>
      <c r="D84" s="21"/>
      <c r="E84" s="21"/>
      <c r="F84" s="293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8.75" customHeight="1" x14ac:dyDescent="0.2">
      <c r="A85" s="21"/>
      <c r="B85" s="21"/>
      <c r="C85" s="25"/>
      <c r="D85" s="21"/>
      <c r="E85" s="21"/>
      <c r="F85" s="293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8.75" customHeight="1" x14ac:dyDescent="0.2">
      <c r="A86" s="21"/>
      <c r="B86" s="21"/>
      <c r="C86" s="25"/>
      <c r="D86" s="21"/>
      <c r="E86" s="21"/>
      <c r="F86" s="293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8.75" customHeight="1" x14ac:dyDescent="0.2">
      <c r="A87" s="21"/>
      <c r="B87" s="21"/>
      <c r="C87" s="25"/>
      <c r="D87" s="21"/>
      <c r="E87" s="21"/>
      <c r="F87" s="293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8.75" customHeight="1" x14ac:dyDescent="0.2">
      <c r="A88" s="21"/>
      <c r="B88" s="21"/>
      <c r="C88" s="25"/>
      <c r="D88" s="21"/>
      <c r="E88" s="21"/>
      <c r="F88" s="293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8.75" customHeight="1" x14ac:dyDescent="0.2">
      <c r="A89" s="21"/>
      <c r="B89" s="21"/>
      <c r="C89" s="25"/>
      <c r="D89" s="21"/>
      <c r="E89" s="21"/>
      <c r="F89" s="293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8.75" customHeight="1" x14ac:dyDescent="0.2">
      <c r="A90" s="21"/>
      <c r="B90" s="21"/>
      <c r="C90" s="25"/>
      <c r="D90" s="21"/>
      <c r="E90" s="21"/>
      <c r="F90" s="293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8.75" customHeight="1" x14ac:dyDescent="0.2">
      <c r="A91" s="21"/>
      <c r="B91" s="21"/>
      <c r="C91" s="25"/>
      <c r="D91" s="21"/>
      <c r="E91" s="21"/>
      <c r="F91" s="293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8.75" customHeight="1" x14ac:dyDescent="0.2">
      <c r="A92" s="21"/>
      <c r="B92" s="21"/>
      <c r="C92" s="25"/>
      <c r="D92" s="21"/>
      <c r="E92" s="21"/>
      <c r="F92" s="293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8.75" customHeight="1" x14ac:dyDescent="0.2">
      <c r="A93" s="21"/>
      <c r="B93" s="21"/>
      <c r="C93" s="25"/>
      <c r="D93" s="21"/>
      <c r="E93" s="21"/>
      <c r="F93" s="293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83" orientation="portrait" r:id="rId1"/>
  <ignoredErrors>
    <ignoredError sqref="C51 C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D95"/>
  <sheetViews>
    <sheetView workbookViewId="0">
      <selection activeCell="C6" sqref="C6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4" ht="13.5" customHeight="1" x14ac:dyDescent="0.25">
      <c r="A1" s="307" t="s">
        <v>0</v>
      </c>
      <c r="B1" s="308"/>
      <c r="C1" s="308"/>
      <c r="D1" s="308"/>
    </row>
    <row r="2" spans="1:4" ht="13.5" customHeight="1" x14ac:dyDescent="0.25">
      <c r="A2" s="307" t="s">
        <v>69</v>
      </c>
      <c r="B2" s="308"/>
      <c r="C2" s="308"/>
      <c r="D2" s="308"/>
    </row>
    <row r="3" spans="1:4" ht="13.5" customHeight="1" x14ac:dyDescent="0.25">
      <c r="A3" s="307" t="s">
        <v>15</v>
      </c>
      <c r="B3" s="308"/>
      <c r="C3" s="308"/>
      <c r="D3" s="308"/>
    </row>
    <row r="4" spans="1:4" ht="6" customHeight="1" x14ac:dyDescent="0.2"/>
    <row r="5" spans="1:4" ht="18.75" customHeight="1" x14ac:dyDescent="0.2">
      <c r="A5" s="39"/>
      <c r="B5" s="39"/>
      <c r="C5" s="153" t="s">
        <v>218</v>
      </c>
      <c r="D5" s="131" t="s">
        <v>70</v>
      </c>
    </row>
    <row r="6" spans="1:4" ht="12.75" customHeight="1" x14ac:dyDescent="0.2">
      <c r="A6" s="39"/>
      <c r="B6" s="39"/>
      <c r="C6" s="148">
        <v>2018</v>
      </c>
      <c r="D6" s="40">
        <v>2017</v>
      </c>
    </row>
    <row r="7" spans="1:4" ht="18.75" customHeight="1" x14ac:dyDescent="0.2">
      <c r="A7" s="39"/>
      <c r="B7" s="39"/>
      <c r="C7" s="156" t="s">
        <v>3</v>
      </c>
      <c r="D7" s="130"/>
    </row>
    <row r="8" spans="1:4" ht="18.75" customHeight="1" x14ac:dyDescent="0.2">
      <c r="A8" s="39"/>
      <c r="B8" s="39"/>
      <c r="C8" s="157"/>
      <c r="D8" s="43"/>
    </row>
    <row r="9" spans="1:4" s="164" customFormat="1" ht="18.75" customHeight="1" x14ac:dyDescent="0.2">
      <c r="A9" s="163" t="s">
        <v>210</v>
      </c>
      <c r="B9" s="165"/>
      <c r="C9" s="158">
        <v>295029</v>
      </c>
      <c r="D9" s="151">
        <v>296435</v>
      </c>
    </row>
    <row r="10" spans="1:4" ht="13.5" customHeight="1" x14ac:dyDescent="0.2">
      <c r="A10" s="41" t="s">
        <v>49</v>
      </c>
      <c r="B10" s="39"/>
      <c r="C10" s="159">
        <v>29280</v>
      </c>
      <c r="D10" s="98">
        <v>36514</v>
      </c>
    </row>
    <row r="11" spans="1:4" s="93" customFormat="1" ht="13.5" customHeight="1" x14ac:dyDescent="0.2">
      <c r="A11" s="95" t="s">
        <v>78</v>
      </c>
      <c r="B11" s="94"/>
      <c r="C11" s="160">
        <v>-6619</v>
      </c>
      <c r="D11" s="47">
        <v>-7032</v>
      </c>
    </row>
    <row r="12" spans="1:4" ht="13.5" customHeight="1" x14ac:dyDescent="0.2">
      <c r="A12" s="39"/>
      <c r="B12" s="39"/>
      <c r="C12" s="45">
        <f>SUM(C9:C11)</f>
        <v>317690</v>
      </c>
      <c r="D12" s="45">
        <f>SUM(D9:D11)</f>
        <v>325917</v>
      </c>
    </row>
    <row r="13" spans="1:4" ht="13.5" customHeight="1" x14ac:dyDescent="0.2">
      <c r="A13" s="309" t="s">
        <v>71</v>
      </c>
      <c r="B13" s="310"/>
      <c r="C13" s="98">
        <v>12533</v>
      </c>
      <c r="D13" s="45">
        <v>15783</v>
      </c>
    </row>
    <row r="14" spans="1:4" ht="13.5" customHeight="1" thickBot="1" x14ac:dyDescent="0.25">
      <c r="A14" s="41" t="s">
        <v>38</v>
      </c>
      <c r="B14" s="39"/>
      <c r="C14" s="48">
        <f>C12-C13</f>
        <v>305157</v>
      </c>
      <c r="D14" s="48">
        <f>D12-D13</f>
        <v>310134</v>
      </c>
    </row>
    <row r="15" spans="1:4" ht="13.5" customHeight="1" thickTop="1" x14ac:dyDescent="0.2">
      <c r="A15" s="39"/>
      <c r="B15" s="39"/>
      <c r="C15" s="157"/>
      <c r="D15" s="106"/>
    </row>
    <row r="16" spans="1:4" ht="13.5" customHeight="1" x14ac:dyDescent="0.2">
      <c r="A16" s="41" t="s">
        <v>72</v>
      </c>
      <c r="C16" s="146"/>
      <c r="D16" s="46"/>
    </row>
    <row r="17" spans="1:4" ht="13.5" customHeight="1" x14ac:dyDescent="0.2">
      <c r="A17" s="95" t="s">
        <v>79</v>
      </c>
      <c r="C17" s="161">
        <f>C12-C11</f>
        <v>324309</v>
      </c>
      <c r="D17" s="44">
        <f>D12-D11</f>
        <v>332949</v>
      </c>
    </row>
    <row r="18" spans="1:4" ht="13.5" customHeight="1" x14ac:dyDescent="0.2">
      <c r="A18" s="41" t="s">
        <v>73</v>
      </c>
      <c r="C18" s="162"/>
      <c r="D18" s="46"/>
    </row>
    <row r="19" spans="1:4" ht="13.5" customHeight="1" x14ac:dyDescent="0.2">
      <c r="A19" s="41" t="s">
        <v>18</v>
      </c>
      <c r="C19" s="98">
        <f>'Balance Sheet'!B11</f>
        <v>241590</v>
      </c>
      <c r="D19" s="45">
        <f>'Balance Sheet'!C11</f>
        <v>273387</v>
      </c>
    </row>
    <row r="20" spans="1:4" ht="13.5" customHeight="1" x14ac:dyDescent="0.2">
      <c r="A20" s="41" t="s">
        <v>19</v>
      </c>
      <c r="C20" s="47">
        <f>'Balance Sheet'!B12</f>
        <v>160894</v>
      </c>
      <c r="D20" s="47">
        <f>'Balance Sheet'!C12</f>
        <v>155846</v>
      </c>
    </row>
    <row r="21" spans="1:4" ht="13.5" customHeight="1" x14ac:dyDescent="0.2">
      <c r="A21" s="39"/>
      <c r="C21" s="98">
        <f>+C19+C20</f>
        <v>402484</v>
      </c>
      <c r="D21" s="45">
        <f>+D19+D20</f>
        <v>429233</v>
      </c>
    </row>
    <row r="22" spans="1:4" ht="13.5" customHeight="1" thickBot="1" x14ac:dyDescent="0.25">
      <c r="A22" s="41" t="s">
        <v>74</v>
      </c>
      <c r="C22" s="48">
        <f>+C17-C21</f>
        <v>-78175</v>
      </c>
      <c r="D22" s="48">
        <f>+D17-D21</f>
        <v>-96284</v>
      </c>
    </row>
    <row r="23" spans="1:4" ht="18.75" customHeight="1" thickTop="1" x14ac:dyDescent="0.2">
      <c r="C23" s="46"/>
      <c r="D23" s="46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M11" sqref="M11"/>
    </sheetView>
  </sheetViews>
  <sheetFormatPr defaultRowHeight="12.75" x14ac:dyDescent="0.2"/>
  <cols>
    <col min="1" max="1" width="60.1640625" style="175" customWidth="1"/>
    <col min="2" max="2" width="14.33203125" style="175" customWidth="1"/>
    <col min="3" max="3" width="10.1640625" style="175" bestFit="1" customWidth="1"/>
    <col min="4" max="4" width="14.33203125" style="175" customWidth="1"/>
    <col min="5" max="5" width="10.1640625" style="175" customWidth="1"/>
    <col min="6" max="6" width="14.33203125" style="175" customWidth="1"/>
    <col min="7" max="7" width="10.1640625" style="175" customWidth="1"/>
    <col min="8" max="16384" width="9.33203125" style="175"/>
  </cols>
  <sheetData>
    <row r="1" spans="1:7" ht="15.75" x14ac:dyDescent="0.25">
      <c r="A1" s="311" t="s">
        <v>0</v>
      </c>
      <c r="B1" s="311"/>
      <c r="C1" s="312"/>
      <c r="D1" s="312"/>
      <c r="E1" s="312"/>
      <c r="F1" s="312"/>
      <c r="G1" s="312"/>
    </row>
    <row r="2" spans="1:7" ht="15.75" x14ac:dyDescent="0.25">
      <c r="A2" s="311" t="s">
        <v>87</v>
      </c>
      <c r="B2" s="311"/>
      <c r="C2" s="312"/>
      <c r="D2" s="312"/>
      <c r="E2" s="312"/>
      <c r="F2" s="312"/>
      <c r="G2" s="312"/>
    </row>
    <row r="3" spans="1:7" ht="15.75" x14ac:dyDescent="0.25">
      <c r="A3" s="311" t="s">
        <v>88</v>
      </c>
      <c r="B3" s="311"/>
      <c r="C3" s="312"/>
      <c r="D3" s="312"/>
      <c r="E3" s="312"/>
      <c r="F3" s="312"/>
      <c r="G3" s="312"/>
    </row>
    <row r="4" spans="1:7" x14ac:dyDescent="0.2">
      <c r="A4" s="174"/>
      <c r="B4" s="174"/>
      <c r="C4" s="174"/>
      <c r="D4" s="225"/>
      <c r="E4" s="225"/>
      <c r="F4" s="225"/>
      <c r="G4" s="225"/>
    </row>
    <row r="5" spans="1:7" x14ac:dyDescent="0.2">
      <c r="A5" s="174"/>
      <c r="B5" s="227"/>
      <c r="C5" s="227"/>
      <c r="D5" s="227"/>
      <c r="E5" s="227"/>
      <c r="F5" s="227"/>
      <c r="G5" s="227"/>
    </row>
    <row r="6" spans="1:7" ht="25.5" customHeight="1" x14ac:dyDescent="0.2">
      <c r="A6" s="174"/>
      <c r="B6" s="313" t="s">
        <v>208</v>
      </c>
      <c r="C6" s="313"/>
      <c r="D6" s="313" t="s">
        <v>211</v>
      </c>
      <c r="E6" s="313"/>
      <c r="F6" s="313" t="s">
        <v>209</v>
      </c>
      <c r="G6" s="313"/>
    </row>
    <row r="7" spans="1:7" x14ac:dyDescent="0.2">
      <c r="A7" s="174"/>
      <c r="B7" s="176" t="s">
        <v>3</v>
      </c>
      <c r="C7" s="176"/>
      <c r="D7" s="176" t="s">
        <v>3</v>
      </c>
      <c r="E7" s="176"/>
      <c r="F7" s="176" t="s">
        <v>3</v>
      </c>
      <c r="G7" s="176"/>
    </row>
    <row r="8" spans="1:7" ht="12.75" customHeight="1" x14ac:dyDescent="0.2">
      <c r="A8" s="177" t="s">
        <v>89</v>
      </c>
      <c r="B8" s="178"/>
      <c r="C8" s="178"/>
      <c r="D8" s="178"/>
      <c r="E8" s="178"/>
      <c r="F8" s="178"/>
      <c r="G8" s="178"/>
    </row>
    <row r="9" spans="1:7" ht="12.75" customHeight="1" x14ac:dyDescent="0.2">
      <c r="A9" s="179" t="s">
        <v>90</v>
      </c>
      <c r="B9" s="169">
        <v>18.791742040000003</v>
      </c>
      <c r="C9" s="169"/>
      <c r="D9" s="169">
        <v>19.743579129999997</v>
      </c>
      <c r="E9" s="169"/>
      <c r="F9" s="169">
        <v>18.091814760000002</v>
      </c>
      <c r="G9" s="169"/>
    </row>
    <row r="10" spans="1:7" ht="12.75" customHeight="1" x14ac:dyDescent="0.2">
      <c r="A10" s="179"/>
      <c r="B10" s="166"/>
      <c r="C10" s="166"/>
      <c r="D10" s="166"/>
      <c r="E10" s="166"/>
      <c r="F10" s="166"/>
      <c r="G10" s="166"/>
    </row>
    <row r="11" spans="1:7" ht="12.75" customHeight="1" x14ac:dyDescent="0.2">
      <c r="A11" s="179" t="s">
        <v>91</v>
      </c>
      <c r="B11" s="167">
        <v>226.70130569</v>
      </c>
      <c r="C11" s="221">
        <f>ROUND(B11/B9,2)</f>
        <v>12.06</v>
      </c>
      <c r="D11" s="167">
        <v>239.94991247999999</v>
      </c>
      <c r="E11" s="221">
        <f>ROUND(D11/D9,2)</f>
        <v>12.15</v>
      </c>
      <c r="F11" s="167">
        <v>227.07912070999998</v>
      </c>
      <c r="G11" s="221">
        <f>ROUND(F11/F9,2)</f>
        <v>12.55</v>
      </c>
    </row>
    <row r="12" spans="1:7" ht="12.75" customHeight="1" x14ac:dyDescent="0.2">
      <c r="A12" s="179" t="s">
        <v>92</v>
      </c>
      <c r="B12" s="168">
        <v>200.38808413000001</v>
      </c>
      <c r="C12" s="180">
        <f>ROUND(B12/B9,2)</f>
        <v>10.66</v>
      </c>
      <c r="D12" s="168">
        <v>212.60874530000001</v>
      </c>
      <c r="E12" s="180">
        <f>ROUND(D12/D9,2)</f>
        <v>10.77</v>
      </c>
      <c r="F12" s="168">
        <v>195.66518846</v>
      </c>
      <c r="G12" s="180">
        <f>ROUND(F12/F9,2)</f>
        <v>10.82</v>
      </c>
    </row>
    <row r="13" spans="1:7" ht="12.75" customHeight="1" x14ac:dyDescent="0.2">
      <c r="A13" s="179" t="s">
        <v>93</v>
      </c>
      <c r="B13" s="169">
        <f t="shared" ref="B13:G13" si="0">B11-B12</f>
        <v>26.313221559999988</v>
      </c>
      <c r="C13" s="181">
        <f t="shared" si="0"/>
        <v>1.4000000000000004</v>
      </c>
      <c r="D13" s="169">
        <f t="shared" si="0"/>
        <v>27.341167179999985</v>
      </c>
      <c r="E13" s="181">
        <f t="shared" si="0"/>
        <v>1.3800000000000008</v>
      </c>
      <c r="F13" s="169">
        <f t="shared" si="0"/>
        <v>31.413932249999988</v>
      </c>
      <c r="G13" s="181">
        <f t="shared" si="0"/>
        <v>1.7300000000000004</v>
      </c>
    </row>
    <row r="14" spans="1:7" ht="12.75" customHeight="1" x14ac:dyDescent="0.2">
      <c r="A14" s="179"/>
      <c r="B14" s="166"/>
      <c r="C14" s="166"/>
      <c r="D14" s="166"/>
      <c r="E14" s="166"/>
      <c r="F14" s="166"/>
      <c r="G14" s="166"/>
    </row>
    <row r="15" spans="1:7" ht="12.75" customHeight="1" x14ac:dyDescent="0.2">
      <c r="A15" s="177" t="s">
        <v>94</v>
      </c>
      <c r="B15" s="178"/>
      <c r="C15" s="178"/>
      <c r="D15" s="178"/>
      <c r="E15" s="178"/>
      <c r="F15" s="178"/>
      <c r="G15" s="178"/>
    </row>
    <row r="16" spans="1:7" ht="12.75" customHeight="1" x14ac:dyDescent="0.2">
      <c r="A16" s="179" t="s">
        <v>90</v>
      </c>
      <c r="B16" s="169">
        <v>2.0093107199999998</v>
      </c>
      <c r="C16" s="166"/>
      <c r="D16" s="169">
        <v>1.7544615100000001</v>
      </c>
      <c r="E16" s="166"/>
      <c r="F16" s="169">
        <v>2.1041904599999999</v>
      </c>
      <c r="G16" s="166"/>
    </row>
    <row r="17" spans="1:7" ht="12.75" customHeight="1" x14ac:dyDescent="0.2">
      <c r="A17" s="179"/>
      <c r="B17" s="166"/>
      <c r="C17" s="166"/>
      <c r="D17" s="166"/>
      <c r="E17" s="166"/>
      <c r="F17" s="166"/>
      <c r="G17" s="166"/>
    </row>
    <row r="18" spans="1:7" ht="12.75" customHeight="1" x14ac:dyDescent="0.2">
      <c r="A18" s="179" t="s">
        <v>91</v>
      </c>
      <c r="B18" s="167">
        <v>209.72384381000001</v>
      </c>
      <c r="C18" s="221">
        <f>ROUND(B18/B16,2)</f>
        <v>104.38</v>
      </c>
      <c r="D18" s="167">
        <v>203.46262414</v>
      </c>
      <c r="E18" s="221">
        <f>ROUND(D18/D16,2)</f>
        <v>115.97</v>
      </c>
      <c r="F18" s="167">
        <v>190.62321992</v>
      </c>
      <c r="G18" s="221">
        <f>ROUND(F18/F16,2)</f>
        <v>90.59</v>
      </c>
    </row>
    <row r="19" spans="1:7" ht="12.75" customHeight="1" x14ac:dyDescent="0.2">
      <c r="A19" s="179" t="s">
        <v>92</v>
      </c>
      <c r="B19" s="168">
        <v>123.24022872</v>
      </c>
      <c r="C19" s="180">
        <f>ROUND(B19/B16,2)</f>
        <v>61.33</v>
      </c>
      <c r="D19" s="168">
        <v>119.87787256</v>
      </c>
      <c r="E19" s="180">
        <f>ROUND(D19/D16,2)</f>
        <v>68.33</v>
      </c>
      <c r="F19" s="168">
        <v>128.24625384999999</v>
      </c>
      <c r="G19" s="180">
        <f>ROUND(F19/F16,2)</f>
        <v>60.95</v>
      </c>
    </row>
    <row r="20" spans="1:7" ht="12.75" customHeight="1" x14ac:dyDescent="0.2">
      <c r="A20" s="179" t="s">
        <v>93</v>
      </c>
      <c r="B20" s="169">
        <f t="shared" ref="B20:G20" si="1">B18-B19</f>
        <v>86.483615090000001</v>
      </c>
      <c r="C20" s="181">
        <f t="shared" si="1"/>
        <v>43.05</v>
      </c>
      <c r="D20" s="169">
        <f t="shared" si="1"/>
        <v>83.584751580000002</v>
      </c>
      <c r="E20" s="181">
        <f t="shared" si="1"/>
        <v>47.64</v>
      </c>
      <c r="F20" s="169">
        <f t="shared" si="1"/>
        <v>62.376966070000009</v>
      </c>
      <c r="G20" s="181">
        <f t="shared" si="1"/>
        <v>29.64</v>
      </c>
    </row>
    <row r="21" spans="1:7" ht="12.75" customHeight="1" x14ac:dyDescent="0.2">
      <c r="A21" s="177"/>
      <c r="B21" s="178"/>
      <c r="C21" s="178"/>
      <c r="D21" s="178"/>
      <c r="E21" s="178"/>
      <c r="F21" s="178"/>
      <c r="G21" s="178"/>
    </row>
    <row r="22" spans="1:7" ht="12.75" customHeight="1" x14ac:dyDescent="0.2">
      <c r="A22" s="177" t="s">
        <v>95</v>
      </c>
      <c r="B22" s="178"/>
      <c r="C22" s="178"/>
      <c r="D22" s="178"/>
      <c r="E22" s="178"/>
      <c r="F22" s="178"/>
      <c r="G22" s="178"/>
    </row>
    <row r="23" spans="1:7" ht="12.75" customHeight="1" x14ac:dyDescent="0.2">
      <c r="A23" s="179" t="s">
        <v>90</v>
      </c>
      <c r="B23" s="169">
        <v>2.0364883300000001</v>
      </c>
      <c r="C23" s="166"/>
      <c r="D23" s="169">
        <v>2.16607555</v>
      </c>
      <c r="E23" s="166"/>
      <c r="F23" s="169">
        <v>2.3253107700000002</v>
      </c>
      <c r="G23" s="166"/>
    </row>
    <row r="24" spans="1:7" ht="12.75" customHeight="1" x14ac:dyDescent="0.2">
      <c r="A24" s="179"/>
      <c r="B24" s="166"/>
      <c r="C24" s="166"/>
      <c r="D24" s="166"/>
      <c r="E24" s="166"/>
      <c r="F24" s="166"/>
      <c r="G24" s="166"/>
    </row>
    <row r="25" spans="1:7" ht="12.75" customHeight="1" x14ac:dyDescent="0.2">
      <c r="A25" s="179" t="s">
        <v>91</v>
      </c>
      <c r="B25" s="167">
        <v>74.883816949999996</v>
      </c>
      <c r="C25" s="221">
        <f>ROUND(B25/B23,2)</f>
        <v>36.770000000000003</v>
      </c>
      <c r="D25" s="167">
        <v>77.095286459999997</v>
      </c>
      <c r="E25" s="221">
        <f>ROUND(D25/D23,2)</f>
        <v>35.590000000000003</v>
      </c>
      <c r="F25" s="167">
        <v>77.698447459999997</v>
      </c>
      <c r="G25" s="221">
        <f>ROUND(F25/F23,2)</f>
        <v>33.409999999999997</v>
      </c>
    </row>
    <row r="26" spans="1:7" ht="12.75" customHeight="1" x14ac:dyDescent="0.2">
      <c r="A26" s="179" t="s">
        <v>92</v>
      </c>
      <c r="B26" s="168">
        <v>63.518729440000001</v>
      </c>
      <c r="C26" s="180">
        <f>ROUND(B26/B23,2)</f>
        <v>31.19</v>
      </c>
      <c r="D26" s="168">
        <v>61.794433420000004</v>
      </c>
      <c r="E26" s="180">
        <f>ROUND(D26/D23,2)</f>
        <v>28.53</v>
      </c>
      <c r="F26" s="168">
        <v>51.302196870000003</v>
      </c>
      <c r="G26" s="180">
        <f>ROUND(F26/F23,2)</f>
        <v>22.06</v>
      </c>
    </row>
    <row r="27" spans="1:7" ht="12.75" customHeight="1" x14ac:dyDescent="0.2">
      <c r="A27" s="179" t="s">
        <v>93</v>
      </c>
      <c r="B27" s="169">
        <f t="shared" ref="B27:G27" si="2">B25-B26</f>
        <v>11.365087509999995</v>
      </c>
      <c r="C27" s="181">
        <f t="shared" si="2"/>
        <v>5.5800000000000018</v>
      </c>
      <c r="D27" s="169">
        <f t="shared" si="2"/>
        <v>15.300853039999993</v>
      </c>
      <c r="E27" s="181">
        <f t="shared" si="2"/>
        <v>7.0600000000000023</v>
      </c>
      <c r="F27" s="169">
        <f t="shared" si="2"/>
        <v>26.396250589999994</v>
      </c>
      <c r="G27" s="181">
        <f t="shared" si="2"/>
        <v>11.349999999999998</v>
      </c>
    </row>
    <row r="28" spans="1:7" ht="12.75" customHeight="1" x14ac:dyDescent="0.2">
      <c r="A28" s="177"/>
      <c r="B28" s="178"/>
      <c r="C28" s="178"/>
      <c r="D28" s="178"/>
      <c r="E28" s="178"/>
      <c r="F28" s="178"/>
      <c r="G28" s="178"/>
    </row>
    <row r="29" spans="1:7" ht="12.75" customHeight="1" x14ac:dyDescent="0.2">
      <c r="A29" s="177" t="s">
        <v>96</v>
      </c>
      <c r="B29" s="167">
        <f>B13+B20+B27</f>
        <v>124.16192415999998</v>
      </c>
      <c r="C29" s="178"/>
      <c r="D29" s="167">
        <f>D13+D20+D27</f>
        <v>126.22677179999998</v>
      </c>
      <c r="E29" s="178"/>
      <c r="F29" s="167">
        <f>F13+F20+F27</f>
        <v>120.18714890999999</v>
      </c>
      <c r="G29" s="178"/>
    </row>
    <row r="30" spans="1:7" ht="12.75" customHeight="1" x14ac:dyDescent="0.2">
      <c r="A30" s="177"/>
      <c r="B30" s="178"/>
      <c r="C30" s="178"/>
      <c r="D30" s="178"/>
      <c r="E30" s="178"/>
      <c r="F30" s="178"/>
      <c r="G30" s="178"/>
    </row>
    <row r="31" spans="1:7" ht="12.75" customHeight="1" x14ac:dyDescent="0.2">
      <c r="A31" s="177" t="s">
        <v>9</v>
      </c>
      <c r="B31" s="169">
        <v>-24.8</v>
      </c>
      <c r="C31" s="178"/>
      <c r="D31" s="169">
        <v>-25.9</v>
      </c>
      <c r="E31" s="178"/>
      <c r="F31" s="169">
        <v>-22.5</v>
      </c>
      <c r="G31" s="178"/>
    </row>
    <row r="32" spans="1:7" ht="12.75" customHeight="1" x14ac:dyDescent="0.2">
      <c r="A32" s="177" t="s">
        <v>49</v>
      </c>
      <c r="B32" s="168">
        <v>-14</v>
      </c>
      <c r="C32" s="178"/>
      <c r="D32" s="168">
        <v>4.5999999999999996</v>
      </c>
      <c r="E32" s="178"/>
      <c r="F32" s="168">
        <v>-2.1</v>
      </c>
      <c r="G32" s="178"/>
    </row>
    <row r="33" spans="1:7" ht="12.75" customHeight="1" x14ac:dyDescent="0.2">
      <c r="A33" s="177"/>
      <c r="B33" s="178"/>
      <c r="C33" s="178"/>
      <c r="D33" s="178"/>
      <c r="E33" s="178"/>
      <c r="F33" s="178"/>
      <c r="G33" s="178"/>
    </row>
    <row r="34" spans="1:7" ht="12.75" customHeight="1" thickBot="1" x14ac:dyDescent="0.25">
      <c r="A34" s="177" t="s">
        <v>192</v>
      </c>
      <c r="B34" s="182">
        <f>SUM(B29:B32)</f>
        <v>85.361924159999987</v>
      </c>
      <c r="C34" s="178"/>
      <c r="D34" s="182">
        <f>SUM(D29:D32)</f>
        <v>104.92677179999998</v>
      </c>
      <c r="E34" s="178"/>
      <c r="F34" s="182">
        <f>SUM(F29:F32)</f>
        <v>95.587148909999996</v>
      </c>
      <c r="G34" s="178"/>
    </row>
    <row r="35" spans="1:7" ht="12.75" customHeight="1" thickTop="1" x14ac:dyDescent="0.2">
      <c r="A35" s="177"/>
      <c r="B35" s="222"/>
      <c r="C35" s="178"/>
      <c r="D35" s="178"/>
      <c r="E35" s="178"/>
      <c r="F35" s="178"/>
      <c r="G35" s="178"/>
    </row>
    <row r="36" spans="1:7" ht="12.75" customHeight="1" x14ac:dyDescent="0.2">
      <c r="A36" s="186"/>
      <c r="B36" s="178"/>
      <c r="C36" s="178"/>
      <c r="D36" s="178"/>
      <c r="E36" s="178"/>
      <c r="F36" s="178"/>
      <c r="G36" s="178"/>
    </row>
    <row r="37" spans="1:7" x14ac:dyDescent="0.2">
      <c r="A37" s="177"/>
      <c r="B37" s="187"/>
      <c r="C37" s="177"/>
      <c r="D37" s="177"/>
      <c r="E37" s="177"/>
      <c r="F37" s="177"/>
      <c r="G37" s="177"/>
    </row>
    <row r="38" spans="1:7" x14ac:dyDescent="0.2">
      <c r="A38" s="177"/>
      <c r="B38" s="177"/>
      <c r="C38" s="177"/>
      <c r="D38" s="177"/>
      <c r="E38" s="177"/>
      <c r="F38" s="177"/>
      <c r="G38" s="177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topLeftCell="A28" workbookViewId="0">
      <selection activeCell="E45" sqref="E45"/>
    </sheetView>
  </sheetViews>
  <sheetFormatPr defaultRowHeight="12.75" x14ac:dyDescent="0.2"/>
  <cols>
    <col min="1" max="1" width="59.6640625" style="175" bestFit="1" customWidth="1"/>
    <col min="2" max="6" width="20.83203125" style="175" customWidth="1"/>
    <col min="7" max="7" width="9.33203125" style="175"/>
    <col min="8" max="8" width="14.33203125" style="175" customWidth="1"/>
    <col min="9" max="16384" width="9.33203125" style="175"/>
  </cols>
  <sheetData>
    <row r="1" spans="1:9" ht="15.75" x14ac:dyDescent="0.25">
      <c r="A1" s="311" t="s">
        <v>0</v>
      </c>
      <c r="B1" s="311"/>
      <c r="C1" s="312"/>
      <c r="D1" s="312"/>
      <c r="E1" s="312"/>
      <c r="F1" s="312"/>
      <c r="G1" s="312"/>
      <c r="H1" s="315"/>
      <c r="I1" s="315"/>
    </row>
    <row r="2" spans="1:9" ht="15.75" x14ac:dyDescent="0.25">
      <c r="A2" s="311" t="s">
        <v>128</v>
      </c>
      <c r="B2" s="311"/>
      <c r="C2" s="312"/>
      <c r="D2" s="312"/>
      <c r="E2" s="312"/>
      <c r="F2" s="312"/>
      <c r="G2" s="312"/>
      <c r="H2" s="316"/>
      <c r="I2" s="312"/>
    </row>
    <row r="3" spans="1:9" ht="15.75" x14ac:dyDescent="0.25">
      <c r="A3" s="311" t="s">
        <v>88</v>
      </c>
      <c r="B3" s="311"/>
      <c r="C3" s="312"/>
      <c r="D3" s="312"/>
      <c r="E3" s="312"/>
      <c r="F3" s="312"/>
      <c r="G3" s="312"/>
      <c r="H3" s="316"/>
      <c r="I3" s="312"/>
    </row>
    <row r="4" spans="1:9" x14ac:dyDescent="0.2">
      <c r="A4" s="225"/>
      <c r="B4" s="225"/>
      <c r="C4" s="225"/>
      <c r="D4" s="225"/>
      <c r="E4" s="225"/>
      <c r="F4" s="225"/>
      <c r="G4" s="225"/>
      <c r="H4" s="225"/>
      <c r="I4" s="225"/>
    </row>
    <row r="5" spans="1:9" x14ac:dyDescent="0.2">
      <c r="A5" s="309" t="s">
        <v>47</v>
      </c>
      <c r="B5" s="305"/>
      <c r="C5" s="305"/>
      <c r="D5" s="305"/>
      <c r="E5" s="305"/>
      <c r="F5" s="305"/>
      <c r="G5" s="264"/>
      <c r="H5" s="264"/>
      <c r="I5" s="264"/>
    </row>
    <row r="6" spans="1:9" x14ac:dyDescent="0.2">
      <c r="A6" s="309" t="s">
        <v>156</v>
      </c>
      <c r="B6" s="305"/>
      <c r="C6" s="305"/>
      <c r="D6" s="305"/>
      <c r="E6" s="305"/>
      <c r="F6" s="305"/>
      <c r="G6" s="264"/>
      <c r="H6" s="264"/>
      <c r="I6" s="264"/>
    </row>
    <row r="7" spans="1:9" x14ac:dyDescent="0.2">
      <c r="A7" s="264"/>
      <c r="B7" s="264"/>
      <c r="C7" s="264"/>
      <c r="D7" s="264"/>
      <c r="E7" s="264"/>
      <c r="F7" s="264"/>
      <c r="G7" s="264"/>
      <c r="H7" s="264"/>
      <c r="I7" s="264"/>
    </row>
    <row r="8" spans="1:9" x14ac:dyDescent="0.2">
      <c r="A8" s="251" t="s">
        <v>157</v>
      </c>
      <c r="B8" s="249"/>
      <c r="C8" s="249"/>
      <c r="D8" s="249"/>
      <c r="E8" s="249"/>
      <c r="F8" s="249"/>
    </row>
    <row r="9" spans="1:9" x14ac:dyDescent="0.2">
      <c r="A9" s="314"/>
      <c r="B9" s="314"/>
      <c r="C9" s="314"/>
      <c r="D9" s="314"/>
      <c r="E9" s="314"/>
      <c r="F9" s="314"/>
    </row>
    <row r="10" spans="1:9" x14ac:dyDescent="0.2">
      <c r="A10" s="252" t="s">
        <v>158</v>
      </c>
      <c r="B10" s="252"/>
      <c r="C10" s="252"/>
      <c r="D10" s="252"/>
      <c r="E10" s="252"/>
      <c r="F10" s="252"/>
    </row>
    <row r="11" spans="1:9" x14ac:dyDescent="0.2">
      <c r="A11" s="252" t="s">
        <v>139</v>
      </c>
      <c r="B11" s="250"/>
      <c r="C11" s="250"/>
      <c r="D11" s="250"/>
      <c r="E11" s="250"/>
      <c r="F11" s="250"/>
    </row>
    <row r="12" spans="1:9" ht="12.75" customHeight="1" x14ac:dyDescent="0.2">
      <c r="A12" s="253" t="s">
        <v>162</v>
      </c>
      <c r="B12" s="254"/>
      <c r="C12" s="254"/>
      <c r="D12" s="254"/>
      <c r="E12" s="254"/>
      <c r="F12" s="254"/>
    </row>
    <row r="13" spans="1:9" x14ac:dyDescent="0.2">
      <c r="A13" s="253" t="s">
        <v>159</v>
      </c>
      <c r="B13" s="254"/>
      <c r="C13" s="254"/>
      <c r="D13" s="254"/>
      <c r="E13" s="254"/>
      <c r="F13" s="254"/>
    </row>
    <row r="14" spans="1:9" x14ac:dyDescent="0.2">
      <c r="A14" s="253" t="s">
        <v>160</v>
      </c>
      <c r="B14" s="254"/>
      <c r="C14" s="254"/>
      <c r="D14" s="254"/>
      <c r="E14" s="254"/>
      <c r="F14" s="254"/>
    </row>
    <row r="15" spans="1:9" x14ac:dyDescent="0.2">
      <c r="A15" s="253" t="s">
        <v>161</v>
      </c>
      <c r="B15" s="254"/>
      <c r="C15" s="254"/>
      <c r="D15" s="254"/>
      <c r="E15" s="254"/>
      <c r="F15" s="254"/>
    </row>
    <row r="16" spans="1:9" x14ac:dyDescent="0.2">
      <c r="A16" s="175" t="s">
        <v>118</v>
      </c>
    </row>
    <row r="18" spans="1:6" ht="30" x14ac:dyDescent="0.25">
      <c r="A18" s="228" t="s">
        <v>206</v>
      </c>
      <c r="B18" s="229" t="s">
        <v>89</v>
      </c>
      <c r="C18" s="230" t="s">
        <v>94</v>
      </c>
      <c r="D18" s="230" t="s">
        <v>95</v>
      </c>
      <c r="E18" s="230" t="s">
        <v>129</v>
      </c>
      <c r="F18" s="231" t="s">
        <v>130</v>
      </c>
    </row>
    <row r="19" spans="1:6" x14ac:dyDescent="0.2">
      <c r="A19" s="224" t="s">
        <v>15</v>
      </c>
      <c r="B19" s="232"/>
      <c r="C19" s="233"/>
      <c r="D19" s="233"/>
      <c r="E19" s="233"/>
      <c r="F19" s="233"/>
    </row>
    <row r="20" spans="1:6" ht="25.5" x14ac:dyDescent="0.2">
      <c r="A20" s="224" t="s">
        <v>131</v>
      </c>
      <c r="B20" s="240">
        <v>229878</v>
      </c>
      <c r="C20" s="240">
        <v>259032</v>
      </c>
      <c r="D20" s="240">
        <v>99814</v>
      </c>
      <c r="E20" s="240">
        <v>3625</v>
      </c>
      <c r="F20" s="240">
        <f>SUM(B20:E20)</f>
        <v>592349</v>
      </c>
    </row>
    <row r="21" spans="1:6" ht="25.5" x14ac:dyDescent="0.2">
      <c r="A21" s="224" t="s">
        <v>132</v>
      </c>
      <c r="B21" s="240"/>
      <c r="C21" s="240"/>
      <c r="D21" s="240"/>
      <c r="E21" s="240"/>
      <c r="F21" s="240"/>
    </row>
    <row r="22" spans="1:6" ht="25.5" x14ac:dyDescent="0.2">
      <c r="A22" s="237" t="s">
        <v>133</v>
      </c>
      <c r="B22" s="278">
        <v>0</v>
      </c>
      <c r="C22" s="279">
        <v>0</v>
      </c>
      <c r="D22" s="279">
        <v>1649</v>
      </c>
      <c r="E22" s="279">
        <v>0</v>
      </c>
      <c r="F22" s="297">
        <f>SUM(B22:E22)</f>
        <v>1649</v>
      </c>
    </row>
    <row r="23" spans="1:6" ht="25.5" x14ac:dyDescent="0.2">
      <c r="A23" s="237" t="s">
        <v>134</v>
      </c>
      <c r="B23" s="278">
        <v>0</v>
      </c>
      <c r="C23" s="279">
        <v>0</v>
      </c>
      <c r="D23" s="279">
        <v>0</v>
      </c>
      <c r="E23" s="279">
        <v>3625</v>
      </c>
      <c r="F23" s="278">
        <f>SUM(B23:E23)</f>
        <v>3625</v>
      </c>
    </row>
    <row r="24" spans="1:6" x14ac:dyDescent="0.2">
      <c r="A24" s="237" t="s">
        <v>135</v>
      </c>
      <c r="B24" s="278">
        <v>3176</v>
      </c>
      <c r="C24" s="279">
        <v>49308</v>
      </c>
      <c r="D24" s="279">
        <v>23281</v>
      </c>
      <c r="E24" s="279">
        <v>0</v>
      </c>
      <c r="F24" s="278">
        <f>SUM(B24:E24)</f>
        <v>75765</v>
      </c>
    </row>
    <row r="25" spans="1:6" x14ac:dyDescent="0.2">
      <c r="A25" s="224" t="s">
        <v>136</v>
      </c>
      <c r="B25" s="280">
        <f>B20-SUM(B22:B24)</f>
        <v>226702</v>
      </c>
      <c r="C25" s="280">
        <f t="shared" ref="C25:E25" si="0">C20-SUM(C22:C24)</f>
        <v>209724</v>
      </c>
      <c r="D25" s="280">
        <f t="shared" si="0"/>
        <v>74884</v>
      </c>
      <c r="E25" s="280">
        <f t="shared" si="0"/>
        <v>0</v>
      </c>
      <c r="F25" s="280">
        <f>F20-SUM(F22:F24)</f>
        <v>511310</v>
      </c>
    </row>
    <row r="26" spans="1:6" x14ac:dyDescent="0.2">
      <c r="A26" s="224" t="s">
        <v>137</v>
      </c>
      <c r="B26" s="278">
        <v>18791.742040000001</v>
      </c>
      <c r="C26" s="278">
        <v>2009.3107199999999</v>
      </c>
      <c r="D26" s="278">
        <v>2036.4883299999999</v>
      </c>
      <c r="E26" s="240"/>
      <c r="F26" s="240"/>
    </row>
    <row r="27" spans="1:6" x14ac:dyDescent="0.2">
      <c r="A27" s="224" t="s">
        <v>138</v>
      </c>
      <c r="B27" s="281">
        <f>B25/B26</f>
        <v>12.063916134940728</v>
      </c>
      <c r="C27" s="281">
        <f>C25/C26</f>
        <v>104.37609171766127</v>
      </c>
      <c r="D27" s="281">
        <f t="shared" ref="D27" si="1">D25/D26</f>
        <v>36.771141232122851</v>
      </c>
      <c r="E27" s="240"/>
      <c r="F27" s="240"/>
    </row>
    <row r="28" spans="1:6" x14ac:dyDescent="0.2">
      <c r="A28" s="239"/>
      <c r="B28" s="239"/>
      <c r="C28" s="239"/>
      <c r="D28" s="239"/>
      <c r="E28" s="239"/>
      <c r="F28" s="239"/>
    </row>
    <row r="29" spans="1:6" x14ac:dyDescent="0.2">
      <c r="A29" s="239"/>
      <c r="B29" s="239"/>
      <c r="C29" s="239"/>
      <c r="D29" s="239"/>
      <c r="E29" s="239"/>
      <c r="F29" s="239"/>
    </row>
    <row r="30" spans="1:6" ht="30" x14ac:dyDescent="0.25">
      <c r="A30" s="283" t="s">
        <v>185</v>
      </c>
      <c r="B30" s="284" t="s">
        <v>89</v>
      </c>
      <c r="C30" s="285" t="s">
        <v>94</v>
      </c>
      <c r="D30" s="285" t="s">
        <v>95</v>
      </c>
      <c r="E30" s="285" t="s">
        <v>129</v>
      </c>
      <c r="F30" s="286" t="s">
        <v>130</v>
      </c>
    </row>
    <row r="31" spans="1:6" x14ac:dyDescent="0.2">
      <c r="A31" s="274" t="s">
        <v>15</v>
      </c>
      <c r="B31" s="287"/>
      <c r="C31" s="288"/>
      <c r="D31" s="288"/>
      <c r="E31" s="288"/>
      <c r="F31" s="288"/>
    </row>
    <row r="32" spans="1:6" ht="25.5" x14ac:dyDescent="0.2">
      <c r="A32" s="274" t="s">
        <v>131</v>
      </c>
      <c r="B32" s="240">
        <v>245427</v>
      </c>
      <c r="C32" s="240">
        <v>238348</v>
      </c>
      <c r="D32" s="240">
        <v>91520</v>
      </c>
      <c r="E32" s="240">
        <v>0</v>
      </c>
      <c r="F32" s="240">
        <f>SUM(B32:E32)</f>
        <v>575295</v>
      </c>
    </row>
    <row r="33" spans="1:6" ht="25.5" x14ac:dyDescent="0.2">
      <c r="A33" s="274" t="s">
        <v>132</v>
      </c>
      <c r="B33" s="240"/>
      <c r="C33" s="240"/>
      <c r="D33" s="240"/>
      <c r="E33" s="240"/>
      <c r="F33" s="240"/>
    </row>
    <row r="34" spans="1:6" ht="25.5" x14ac:dyDescent="0.2">
      <c r="A34" s="289" t="s">
        <v>133</v>
      </c>
      <c r="B34" s="278">
        <v>0</v>
      </c>
      <c r="C34" s="279">
        <v>0</v>
      </c>
      <c r="D34" s="279">
        <v>1031</v>
      </c>
      <c r="E34" s="279">
        <v>0</v>
      </c>
      <c r="F34" s="297">
        <f>SUM(B34:E34)</f>
        <v>1031</v>
      </c>
    </row>
    <row r="35" spans="1:6" ht="25.5" x14ac:dyDescent="0.2">
      <c r="A35" s="289" t="s">
        <v>134</v>
      </c>
      <c r="B35" s="278">
        <v>0</v>
      </c>
      <c r="C35" s="279">
        <v>0</v>
      </c>
      <c r="D35" s="279">
        <v>0</v>
      </c>
      <c r="E35" s="279">
        <v>0</v>
      </c>
      <c r="F35" s="278">
        <f>SUM(B35:E35)</f>
        <v>0</v>
      </c>
    </row>
    <row r="36" spans="1:6" x14ac:dyDescent="0.2">
      <c r="A36" s="289" t="s">
        <v>135</v>
      </c>
      <c r="B36" s="278">
        <v>5478</v>
      </c>
      <c r="C36" s="279">
        <v>34885</v>
      </c>
      <c r="D36" s="279">
        <v>13394</v>
      </c>
      <c r="E36" s="279">
        <v>0</v>
      </c>
      <c r="F36" s="278">
        <f>SUM(B36:E36)</f>
        <v>53757</v>
      </c>
    </row>
    <row r="37" spans="1:6" x14ac:dyDescent="0.2">
      <c r="A37" s="274" t="s">
        <v>136</v>
      </c>
      <c r="B37" s="280">
        <f>B32-SUM(B34:B36)</f>
        <v>239949</v>
      </c>
      <c r="C37" s="280">
        <f t="shared" ref="C37" si="2">C32-SUM(C34:C36)</f>
        <v>203463</v>
      </c>
      <c r="D37" s="280">
        <f t="shared" ref="D37" si="3">D32-SUM(D34:D36)</f>
        <v>77095</v>
      </c>
      <c r="E37" s="280">
        <f t="shared" ref="E37" si="4">E32-SUM(E34:E36)</f>
        <v>0</v>
      </c>
      <c r="F37" s="280">
        <f>F32-SUM(F34:F36)</f>
        <v>520507</v>
      </c>
    </row>
    <row r="38" spans="1:6" x14ac:dyDescent="0.2">
      <c r="A38" s="274" t="s">
        <v>137</v>
      </c>
      <c r="B38" s="297">
        <v>19743.579129999998</v>
      </c>
      <c r="C38" s="297">
        <v>1754.4615100000001</v>
      </c>
      <c r="D38" s="297">
        <v>2166.07555</v>
      </c>
      <c r="E38" s="240"/>
      <c r="F38" s="240"/>
    </row>
    <row r="39" spans="1:6" x14ac:dyDescent="0.2">
      <c r="A39" s="274" t="s">
        <v>138</v>
      </c>
      <c r="B39" s="281">
        <f>B37/B38</f>
        <v>12.153267572210451</v>
      </c>
      <c r="C39" s="281">
        <f t="shared" ref="C39:D39" si="5">C37/C38</f>
        <v>115.96891629728599</v>
      </c>
      <c r="D39" s="281">
        <f t="shared" si="5"/>
        <v>35.592018016176766</v>
      </c>
      <c r="E39" s="240"/>
      <c r="F39" s="240"/>
    </row>
    <row r="40" spans="1:6" x14ac:dyDescent="0.2">
      <c r="A40" s="223"/>
      <c r="B40" s="240"/>
      <c r="C40" s="240"/>
      <c r="D40" s="240"/>
      <c r="E40" s="240"/>
      <c r="F40" s="240"/>
    </row>
    <row r="41" spans="1:6" ht="15" x14ac:dyDescent="0.25">
      <c r="A41" s="241"/>
      <c r="B41" s="242"/>
      <c r="C41" s="243"/>
      <c r="D41" s="244"/>
      <c r="E41" s="244"/>
      <c r="F41" s="243"/>
    </row>
    <row r="42" spans="1:6" ht="30" x14ac:dyDescent="0.25">
      <c r="A42" s="228" t="s">
        <v>207</v>
      </c>
      <c r="B42" s="229" t="s">
        <v>89</v>
      </c>
      <c r="C42" s="230" t="s">
        <v>94</v>
      </c>
      <c r="D42" s="230" t="s">
        <v>95</v>
      </c>
      <c r="E42" s="230" t="s">
        <v>129</v>
      </c>
      <c r="F42" s="231" t="s">
        <v>130</v>
      </c>
    </row>
    <row r="43" spans="1:6" x14ac:dyDescent="0.2">
      <c r="A43" s="224" t="s">
        <v>15</v>
      </c>
      <c r="B43" s="232"/>
      <c r="C43" s="233"/>
      <c r="D43" s="233"/>
      <c r="E43" s="233"/>
      <c r="F43" s="233"/>
    </row>
    <row r="44" spans="1:6" ht="25.5" x14ac:dyDescent="0.2">
      <c r="A44" s="224" t="s">
        <v>131</v>
      </c>
      <c r="B44" s="240">
        <v>230579</v>
      </c>
      <c r="C44" s="240">
        <v>227649</v>
      </c>
      <c r="D44" s="240">
        <v>91639</v>
      </c>
      <c r="E44" s="240">
        <v>-1</v>
      </c>
      <c r="F44" s="240">
        <f>SUM(B44:E44)</f>
        <v>549866</v>
      </c>
    </row>
    <row r="45" spans="1:6" ht="25.5" x14ac:dyDescent="0.2">
      <c r="A45" s="224" t="s">
        <v>132</v>
      </c>
      <c r="B45" s="240"/>
      <c r="C45" s="240"/>
      <c r="D45" s="240"/>
      <c r="E45" s="240"/>
      <c r="F45" s="240"/>
    </row>
    <row r="46" spans="1:6" ht="25.5" x14ac:dyDescent="0.2">
      <c r="A46" s="237" t="s">
        <v>133</v>
      </c>
      <c r="B46" s="278">
        <v>0</v>
      </c>
      <c r="C46" s="279">
        <v>0</v>
      </c>
      <c r="D46" s="279">
        <v>0</v>
      </c>
      <c r="E46" s="279">
        <v>0</v>
      </c>
      <c r="F46" s="297">
        <f>SUM(B46:E46)</f>
        <v>0</v>
      </c>
    </row>
    <row r="47" spans="1:6" ht="25.5" x14ac:dyDescent="0.2">
      <c r="A47" s="237" t="s">
        <v>134</v>
      </c>
      <c r="B47" s="278">
        <v>0</v>
      </c>
      <c r="C47" s="279">
        <v>0</v>
      </c>
      <c r="D47" s="279">
        <v>0</v>
      </c>
      <c r="E47" s="279">
        <v>0</v>
      </c>
      <c r="F47" s="278">
        <f>SUM(B47:E47)</f>
        <v>0</v>
      </c>
    </row>
    <row r="48" spans="1:6" x14ac:dyDescent="0.2">
      <c r="A48" s="237" t="s">
        <v>135</v>
      </c>
      <c r="B48" s="278">
        <v>3500</v>
      </c>
      <c r="C48" s="279">
        <v>37025</v>
      </c>
      <c r="D48" s="279">
        <v>13941</v>
      </c>
      <c r="E48" s="279">
        <v>0</v>
      </c>
      <c r="F48" s="278">
        <f>SUM(B48:E48)</f>
        <v>54466</v>
      </c>
    </row>
    <row r="49" spans="1:6" x14ac:dyDescent="0.2">
      <c r="A49" s="224" t="s">
        <v>136</v>
      </c>
      <c r="B49" s="280">
        <f>B44-SUM(B46:B48)</f>
        <v>227079</v>
      </c>
      <c r="C49" s="280">
        <f t="shared" ref="C49" si="6">C44-SUM(C46:C48)</f>
        <v>190624</v>
      </c>
      <c r="D49" s="280">
        <f t="shared" ref="D49" si="7">D44-SUM(D46:D48)</f>
        <v>77698</v>
      </c>
      <c r="E49" s="280">
        <f t="shared" ref="E49" si="8">E44-SUM(E46:E48)</f>
        <v>-1</v>
      </c>
      <c r="F49" s="280">
        <f>F44-SUM(F46:F48)</f>
        <v>495400</v>
      </c>
    </row>
    <row r="50" spans="1:6" x14ac:dyDescent="0.2">
      <c r="A50" s="224" t="s">
        <v>137</v>
      </c>
      <c r="B50" s="278">
        <v>18091.814760000001</v>
      </c>
      <c r="C50" s="278">
        <v>2104.1904599999998</v>
      </c>
      <c r="D50" s="278">
        <v>2325.31077</v>
      </c>
      <c r="E50" s="240"/>
      <c r="F50" s="240"/>
    </row>
    <row r="51" spans="1:6" x14ac:dyDescent="0.2">
      <c r="A51" s="224" t="s">
        <v>138</v>
      </c>
      <c r="B51" s="281">
        <f>B49/B50</f>
        <v>12.551477174200295</v>
      </c>
      <c r="C51" s="281">
        <f t="shared" ref="C51" si="9">C49/C50</f>
        <v>90.592559762864823</v>
      </c>
      <c r="D51" s="281">
        <f t="shared" ref="D51" si="10">D49/D50</f>
        <v>33.414028353724092</v>
      </c>
      <c r="E51" s="240"/>
      <c r="F51" s="240"/>
    </row>
    <row r="52" spans="1:6" x14ac:dyDescent="0.2">
      <c r="A52" s="224"/>
      <c r="B52" s="232"/>
      <c r="C52" s="233"/>
      <c r="D52" s="233"/>
      <c r="E52" s="233"/>
      <c r="F52" s="233"/>
    </row>
    <row r="53" spans="1:6" ht="15" x14ac:dyDescent="0.25">
      <c r="A53" s="245"/>
      <c r="B53" s="246"/>
      <c r="C53" s="247"/>
      <c r="D53" s="248"/>
      <c r="E53" s="248"/>
      <c r="F53" s="247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topLeftCell="A16" workbookViewId="0">
      <selection activeCell="H21" sqref="H21"/>
    </sheetView>
  </sheetViews>
  <sheetFormatPr defaultRowHeight="12.75" x14ac:dyDescent="0.2"/>
  <cols>
    <col min="1" max="1" width="59.6640625" style="175" bestFit="1" customWidth="1"/>
    <col min="2" max="6" width="20.83203125" style="175" customWidth="1"/>
    <col min="7" max="7" width="9.33203125" style="175"/>
    <col min="8" max="8" width="14.33203125" style="175" customWidth="1"/>
    <col min="9" max="16384" width="9.33203125" style="175"/>
  </cols>
  <sheetData>
    <row r="1" spans="1:9" ht="15.75" x14ac:dyDescent="0.25">
      <c r="A1" s="311" t="s">
        <v>0</v>
      </c>
      <c r="B1" s="311"/>
      <c r="C1" s="312"/>
      <c r="D1" s="312"/>
      <c r="E1" s="312"/>
      <c r="F1" s="312"/>
      <c r="G1" s="312"/>
      <c r="H1" s="315"/>
      <c r="I1" s="315"/>
    </row>
    <row r="2" spans="1:9" ht="15.75" x14ac:dyDescent="0.25">
      <c r="A2" s="311" t="s">
        <v>128</v>
      </c>
      <c r="B2" s="311"/>
      <c r="C2" s="312"/>
      <c r="D2" s="312"/>
      <c r="E2" s="312"/>
      <c r="F2" s="312"/>
      <c r="G2" s="312"/>
      <c r="H2" s="316"/>
      <c r="I2" s="312"/>
    </row>
    <row r="3" spans="1:9" ht="15.75" x14ac:dyDescent="0.25">
      <c r="A3" s="311" t="s">
        <v>88</v>
      </c>
      <c r="B3" s="311"/>
      <c r="C3" s="312"/>
      <c r="D3" s="312"/>
      <c r="E3" s="312"/>
      <c r="F3" s="312"/>
      <c r="G3" s="312"/>
      <c r="H3" s="316"/>
      <c r="I3" s="312"/>
    </row>
    <row r="4" spans="1:9" x14ac:dyDescent="0.2">
      <c r="A4" s="225"/>
      <c r="B4" s="225"/>
      <c r="C4" s="225"/>
      <c r="D4" s="225"/>
      <c r="E4" s="225"/>
      <c r="F4" s="225"/>
      <c r="G4" s="225"/>
      <c r="H4" s="225"/>
      <c r="I4" s="225"/>
    </row>
    <row r="5" spans="1:9" x14ac:dyDescent="0.2">
      <c r="A5" s="251" t="s">
        <v>163</v>
      </c>
      <c r="B5" s="249"/>
      <c r="C5" s="249"/>
      <c r="D5" s="249"/>
      <c r="E5" s="249"/>
      <c r="F5" s="249"/>
    </row>
    <row r="6" spans="1:9" x14ac:dyDescent="0.2">
      <c r="A6" s="314"/>
      <c r="B6" s="314"/>
      <c r="C6" s="314"/>
      <c r="D6" s="314"/>
      <c r="E6" s="314"/>
      <c r="F6" s="314"/>
    </row>
    <row r="7" spans="1:9" x14ac:dyDescent="0.2">
      <c r="A7" s="252" t="s">
        <v>164</v>
      </c>
      <c r="B7" s="252"/>
      <c r="C7" s="252"/>
      <c r="D7" s="252"/>
      <c r="E7" s="252"/>
      <c r="F7" s="252"/>
    </row>
    <row r="8" spans="1:9" x14ac:dyDescent="0.2">
      <c r="A8" s="252" t="s">
        <v>165</v>
      </c>
      <c r="B8" s="250"/>
      <c r="C8" s="250"/>
      <c r="D8" s="250"/>
      <c r="E8" s="250"/>
      <c r="F8" s="250"/>
    </row>
    <row r="9" spans="1:9" ht="12.75" customHeight="1" x14ac:dyDescent="0.2">
      <c r="A9" s="253" t="s">
        <v>166</v>
      </c>
      <c r="B9" s="254"/>
      <c r="C9" s="254"/>
      <c r="D9" s="254"/>
      <c r="E9" s="254"/>
      <c r="F9" s="254"/>
    </row>
    <row r="10" spans="1:9" x14ac:dyDescent="0.2">
      <c r="A10" s="253" t="s">
        <v>167</v>
      </c>
      <c r="B10" s="254"/>
      <c r="C10" s="254"/>
      <c r="D10" s="254"/>
      <c r="E10" s="254"/>
      <c r="F10" s="254"/>
    </row>
    <row r="11" spans="1:9" x14ac:dyDescent="0.2">
      <c r="A11" s="253" t="s">
        <v>168</v>
      </c>
      <c r="B11" s="254"/>
      <c r="C11" s="254"/>
      <c r="D11" s="254"/>
      <c r="E11" s="254"/>
      <c r="F11" s="254"/>
    </row>
    <row r="12" spans="1:9" x14ac:dyDescent="0.2">
      <c r="A12" s="255" t="s">
        <v>169</v>
      </c>
      <c r="B12" s="254"/>
      <c r="C12" s="254"/>
      <c r="D12" s="254"/>
      <c r="E12" s="254"/>
      <c r="F12" s="254"/>
    </row>
    <row r="15" spans="1:9" ht="30" x14ac:dyDescent="0.25">
      <c r="A15" s="228" t="str">
        <f>'NON-GAAP Sales'!A18</f>
        <v>Quarter ended June 30, 2018</v>
      </c>
      <c r="B15" s="229" t="s">
        <v>89</v>
      </c>
      <c r="C15" s="230" t="s">
        <v>94</v>
      </c>
      <c r="D15" s="230" t="s">
        <v>95</v>
      </c>
      <c r="E15" s="230" t="s">
        <v>129</v>
      </c>
      <c r="F15" s="231" t="s">
        <v>130</v>
      </c>
    </row>
    <row r="16" spans="1:9" x14ac:dyDescent="0.2">
      <c r="A16" s="226" t="s">
        <v>15</v>
      </c>
      <c r="B16" s="232"/>
      <c r="C16" s="233"/>
      <c r="D16" s="233"/>
      <c r="E16" s="233"/>
      <c r="F16" s="233"/>
    </row>
    <row r="17" spans="1:6" ht="25.5" x14ac:dyDescent="0.2">
      <c r="A17" s="226" t="s">
        <v>140</v>
      </c>
      <c r="B17" s="234">
        <v>205532</v>
      </c>
      <c r="C17" s="234">
        <v>172548</v>
      </c>
      <c r="D17" s="234">
        <v>86800</v>
      </c>
      <c r="E17" s="234">
        <v>9508</v>
      </c>
      <c r="F17" s="234">
        <f>SUM(B17:E17)</f>
        <v>474388</v>
      </c>
    </row>
    <row r="18" spans="1:6" ht="25.5" x14ac:dyDescent="0.2">
      <c r="A18" s="226" t="s">
        <v>141</v>
      </c>
      <c r="B18" s="234"/>
      <c r="C18" s="234"/>
      <c r="D18" s="234"/>
      <c r="E18" s="234"/>
      <c r="F18" s="234"/>
    </row>
    <row r="19" spans="1:6" ht="25.5" x14ac:dyDescent="0.2">
      <c r="A19" s="237" t="s">
        <v>142</v>
      </c>
      <c r="B19" s="235">
        <v>1968</v>
      </c>
      <c r="C19" s="236">
        <v>0</v>
      </c>
      <c r="D19" s="236">
        <v>0</v>
      </c>
      <c r="E19" s="236">
        <v>0</v>
      </c>
      <c r="F19" s="235">
        <f>SUM(B19:E19)</f>
        <v>1968</v>
      </c>
    </row>
    <row r="20" spans="1:6" x14ac:dyDescent="0.2">
      <c r="A20" s="237" t="s">
        <v>135</v>
      </c>
      <c r="B20" s="235">
        <f>'NON-GAAP Sales'!B24</f>
        <v>3176</v>
      </c>
      <c r="C20" s="298">
        <f>'NON-GAAP Sales'!C24</f>
        <v>49308</v>
      </c>
      <c r="D20" s="298">
        <f>'NON-GAAP Sales'!D24</f>
        <v>23281</v>
      </c>
      <c r="E20" s="298">
        <f>'NON-GAAP Sales'!E24</f>
        <v>0</v>
      </c>
      <c r="F20" s="235">
        <f t="shared" ref="F20:F22" si="0">SUM(B20:E20)</f>
        <v>75765</v>
      </c>
    </row>
    <row r="21" spans="1:6" ht="25.5" x14ac:dyDescent="0.2">
      <c r="A21" s="237" t="s">
        <v>143</v>
      </c>
      <c r="B21" s="235">
        <v>0</v>
      </c>
      <c r="C21" s="236">
        <v>0</v>
      </c>
      <c r="D21" s="236">
        <v>0</v>
      </c>
      <c r="E21" s="236">
        <v>6731</v>
      </c>
      <c r="F21" s="235">
        <f t="shared" si="0"/>
        <v>6731</v>
      </c>
    </row>
    <row r="22" spans="1:6" x14ac:dyDescent="0.2">
      <c r="A22" s="237" t="s">
        <v>144</v>
      </c>
      <c r="B22" s="235">
        <v>0</v>
      </c>
      <c r="C22" s="236">
        <v>0</v>
      </c>
      <c r="D22" s="236">
        <v>0</v>
      </c>
      <c r="E22" s="235">
        <v>2777</v>
      </c>
      <c r="F22" s="235">
        <f t="shared" si="0"/>
        <v>2777</v>
      </c>
    </row>
    <row r="23" spans="1:6" ht="13.5" thickBot="1" x14ac:dyDescent="0.25">
      <c r="A23" s="226" t="s">
        <v>145</v>
      </c>
      <c r="B23" s="262">
        <f>B17-SUM(B19:B22)</f>
        <v>200388</v>
      </c>
      <c r="C23" s="262">
        <f t="shared" ref="C23" si="1">C17-SUM(C19:C22)</f>
        <v>123240</v>
      </c>
      <c r="D23" s="262">
        <f t="shared" ref="D23" si="2">D17-SUM(D19:D22)</f>
        <v>63519</v>
      </c>
      <c r="E23" s="262">
        <f t="shared" ref="E23" si="3">E17-SUM(E19:E22)</f>
        <v>0</v>
      </c>
      <c r="F23" s="262">
        <f t="shared" ref="F23" si="4">F17-SUM(F19:F22)</f>
        <v>387147</v>
      </c>
    </row>
    <row r="24" spans="1:6" ht="13.5" thickTop="1" x14ac:dyDescent="0.2">
      <c r="A24" s="226" t="s">
        <v>137</v>
      </c>
      <c r="B24" s="235">
        <f>'NON-GAAP Sales'!B26</f>
        <v>18791.742040000001</v>
      </c>
      <c r="C24" s="298">
        <f>'NON-GAAP Sales'!C26</f>
        <v>2009.3107199999999</v>
      </c>
      <c r="D24" s="298">
        <f>'NON-GAAP Sales'!D26</f>
        <v>2036.4883299999999</v>
      </c>
      <c r="E24" s="234"/>
      <c r="F24" s="234"/>
    </row>
    <row r="25" spans="1:6" x14ac:dyDescent="0.2">
      <c r="A25" s="226" t="s">
        <v>149</v>
      </c>
      <c r="B25" s="238">
        <f>B23/B24</f>
        <v>10.66362019941819</v>
      </c>
      <c r="C25" s="238">
        <f t="shared" ref="C25" si="5">C23/C24</f>
        <v>61.334465980453238</v>
      </c>
      <c r="D25" s="238">
        <f t="shared" ref="D25" si="6">D23/D24</f>
        <v>31.190456171187588</v>
      </c>
      <c r="E25" s="234"/>
      <c r="F25" s="234"/>
    </row>
    <row r="26" spans="1:6" x14ac:dyDescent="0.2">
      <c r="A26" s="226"/>
      <c r="B26" s="234"/>
      <c r="C26" s="234"/>
      <c r="D26" s="234"/>
      <c r="E26" s="234"/>
      <c r="F26" s="234"/>
    </row>
    <row r="27" spans="1:6" ht="15" x14ac:dyDescent="0.25">
      <c r="A27" s="245"/>
      <c r="B27" s="246"/>
      <c r="C27" s="247"/>
      <c r="D27" s="246"/>
      <c r="E27" s="248"/>
      <c r="F27" s="247"/>
    </row>
    <row r="28" spans="1:6" ht="30" x14ac:dyDescent="0.25">
      <c r="A28" s="228" t="str">
        <f>'NON-GAAP Sales'!A30</f>
        <v>Quarter ended March 31, 2018</v>
      </c>
      <c r="B28" s="229" t="s">
        <v>89</v>
      </c>
      <c r="C28" s="230" t="s">
        <v>94</v>
      </c>
      <c r="D28" s="230" t="s">
        <v>95</v>
      </c>
      <c r="E28" s="230" t="s">
        <v>129</v>
      </c>
      <c r="F28" s="231" t="s">
        <v>130</v>
      </c>
    </row>
    <row r="29" spans="1:6" x14ac:dyDescent="0.2">
      <c r="A29" s="226" t="s">
        <v>15</v>
      </c>
      <c r="B29" s="232"/>
      <c r="C29" s="233"/>
      <c r="D29" s="233"/>
      <c r="E29" s="233"/>
      <c r="F29" s="233"/>
    </row>
    <row r="30" spans="1:6" ht="25.5" x14ac:dyDescent="0.2">
      <c r="A30" s="226" t="s">
        <v>140</v>
      </c>
      <c r="B30" s="240">
        <v>218526</v>
      </c>
      <c r="C30" s="240">
        <v>154763</v>
      </c>
      <c r="D30" s="240">
        <v>75188</v>
      </c>
      <c r="E30" s="240">
        <v>6303</v>
      </c>
      <c r="F30" s="240">
        <f>SUM(B30:E30)</f>
        <v>454780</v>
      </c>
    </row>
    <row r="31" spans="1:6" ht="25.5" x14ac:dyDescent="0.2">
      <c r="A31" s="226" t="s">
        <v>141</v>
      </c>
      <c r="B31" s="240"/>
      <c r="C31" s="240"/>
      <c r="D31" s="240"/>
      <c r="E31" s="240"/>
      <c r="F31" s="240"/>
    </row>
    <row r="32" spans="1:6" ht="25.5" x14ac:dyDescent="0.2">
      <c r="A32" s="237" t="s">
        <v>142</v>
      </c>
      <c r="B32" s="278">
        <v>439</v>
      </c>
      <c r="C32" s="279">
        <v>0</v>
      </c>
      <c r="D32" s="279">
        <v>0</v>
      </c>
      <c r="E32" s="279">
        <v>0</v>
      </c>
      <c r="F32" s="278">
        <f>SUM(B32:E32)</f>
        <v>439</v>
      </c>
    </row>
    <row r="33" spans="1:6" x14ac:dyDescent="0.2">
      <c r="A33" s="237" t="s">
        <v>135</v>
      </c>
      <c r="B33" s="278">
        <f>'NON-GAAP Sales'!B36</f>
        <v>5478</v>
      </c>
      <c r="C33" s="297">
        <f>'NON-GAAP Sales'!C36</f>
        <v>34885</v>
      </c>
      <c r="D33" s="297">
        <f>'NON-GAAP Sales'!D36</f>
        <v>13394</v>
      </c>
      <c r="E33" s="297">
        <f>'NON-GAAP Sales'!E36</f>
        <v>0</v>
      </c>
      <c r="F33" s="278">
        <f t="shared" ref="F33:F35" si="7">SUM(B33:E33)</f>
        <v>53757</v>
      </c>
    </row>
    <row r="34" spans="1:6" ht="25.5" x14ac:dyDescent="0.2">
      <c r="A34" s="237" t="s">
        <v>143</v>
      </c>
      <c r="B34" s="278">
        <v>0</v>
      </c>
      <c r="C34" s="279">
        <v>0</v>
      </c>
      <c r="D34" s="279">
        <v>0</v>
      </c>
      <c r="E34" s="279">
        <v>4232</v>
      </c>
      <c r="F34" s="278">
        <f t="shared" si="7"/>
        <v>4232</v>
      </c>
    </row>
    <row r="35" spans="1:6" x14ac:dyDescent="0.2">
      <c r="A35" s="237" t="s">
        <v>144</v>
      </c>
      <c r="B35" s="278">
        <v>0</v>
      </c>
      <c r="C35" s="279">
        <v>0</v>
      </c>
      <c r="D35" s="279">
        <v>0</v>
      </c>
      <c r="E35" s="278">
        <v>2071</v>
      </c>
      <c r="F35" s="278">
        <f t="shared" si="7"/>
        <v>2071</v>
      </c>
    </row>
    <row r="36" spans="1:6" ht="13.5" thickBot="1" x14ac:dyDescent="0.25">
      <c r="A36" s="226" t="s">
        <v>145</v>
      </c>
      <c r="B36" s="282">
        <f>B30-SUM(B32:B35)</f>
        <v>212609</v>
      </c>
      <c r="C36" s="282">
        <f t="shared" ref="C36:F36" si="8">C30-SUM(C32:C35)</f>
        <v>119878</v>
      </c>
      <c r="D36" s="282">
        <f t="shared" si="8"/>
        <v>61794</v>
      </c>
      <c r="E36" s="282">
        <f t="shared" si="8"/>
        <v>0</v>
      </c>
      <c r="F36" s="282">
        <f t="shared" si="8"/>
        <v>394281</v>
      </c>
    </row>
    <row r="37" spans="1:6" ht="13.5" thickTop="1" x14ac:dyDescent="0.2">
      <c r="A37" s="226" t="s">
        <v>137</v>
      </c>
      <c r="B37" s="298">
        <f>'NON-GAAP Sales'!B38</f>
        <v>19743.579129999998</v>
      </c>
      <c r="C37" s="298">
        <f>'NON-GAAP Sales'!C38</f>
        <v>1754.4615100000001</v>
      </c>
      <c r="D37" s="298">
        <f>'NON-GAAP Sales'!D38</f>
        <v>2166.07555</v>
      </c>
      <c r="E37" s="240"/>
      <c r="F37" s="240"/>
    </row>
    <row r="38" spans="1:6" x14ac:dyDescent="0.2">
      <c r="A38" s="226" t="s">
        <v>149</v>
      </c>
      <c r="B38" s="281">
        <f>B36/B37</f>
        <v>10.768513581053023</v>
      </c>
      <c r="C38" s="281">
        <f t="shared" ref="C38:D38" si="9">C36/C37</f>
        <v>68.327517769255593</v>
      </c>
      <c r="D38" s="281">
        <f t="shared" si="9"/>
        <v>28.52809081382226</v>
      </c>
      <c r="E38" s="240"/>
      <c r="F38" s="240"/>
    </row>
    <row r="39" spans="1:6" x14ac:dyDescent="0.2">
      <c r="A39" s="226"/>
      <c r="B39" s="232"/>
      <c r="C39" s="233"/>
      <c r="D39" s="233"/>
      <c r="E39" s="233"/>
      <c r="F39" s="233"/>
    </row>
    <row r="40" spans="1:6" ht="15" x14ac:dyDescent="0.25">
      <c r="A40" s="245"/>
      <c r="B40" s="246"/>
      <c r="C40" s="247"/>
      <c r="D40" s="248"/>
      <c r="E40" s="248"/>
      <c r="F40" s="247"/>
    </row>
    <row r="41" spans="1:6" ht="30" x14ac:dyDescent="0.25">
      <c r="A41" s="228" t="str">
        <f>'NON-GAAP Sales'!A42</f>
        <v>Quarter ended June 30, 2017</v>
      </c>
      <c r="B41" s="229" t="s">
        <v>89</v>
      </c>
      <c r="C41" s="230" t="s">
        <v>94</v>
      </c>
      <c r="D41" s="230" t="s">
        <v>95</v>
      </c>
      <c r="E41" s="230" t="s">
        <v>129</v>
      </c>
      <c r="F41" s="231" t="s">
        <v>130</v>
      </c>
    </row>
    <row r="42" spans="1:6" x14ac:dyDescent="0.2">
      <c r="A42" s="226" t="s">
        <v>15</v>
      </c>
      <c r="B42" s="232"/>
      <c r="C42" s="233"/>
      <c r="D42" s="233"/>
      <c r="E42" s="233"/>
      <c r="F42" s="233"/>
    </row>
    <row r="43" spans="1:6" x14ac:dyDescent="0.2">
      <c r="A43" s="226" t="s">
        <v>146</v>
      </c>
      <c r="B43" s="234">
        <v>198274</v>
      </c>
      <c r="C43" s="234">
        <v>165272</v>
      </c>
      <c r="D43" s="234">
        <v>65242</v>
      </c>
      <c r="E43" s="234">
        <v>5677</v>
      </c>
      <c r="F43" s="234">
        <f>SUM(B43:E43)</f>
        <v>434465</v>
      </c>
    </row>
    <row r="44" spans="1:6" ht="25.5" x14ac:dyDescent="0.2">
      <c r="A44" s="226" t="s">
        <v>147</v>
      </c>
      <c r="B44" s="234"/>
      <c r="C44" s="234"/>
      <c r="D44" s="234"/>
      <c r="E44" s="234"/>
      <c r="F44" s="234"/>
    </row>
    <row r="45" spans="1:6" ht="25.5" x14ac:dyDescent="0.2">
      <c r="A45" s="226" t="s">
        <v>142</v>
      </c>
      <c r="B45" s="235">
        <v>-891</v>
      </c>
      <c r="C45" s="236">
        <v>0</v>
      </c>
      <c r="D45" s="236">
        <v>0</v>
      </c>
      <c r="E45" s="236">
        <v>0</v>
      </c>
      <c r="F45" s="235">
        <f>SUM(B45:E45)</f>
        <v>-891</v>
      </c>
    </row>
    <row r="46" spans="1:6" x14ac:dyDescent="0.2">
      <c r="A46" s="226" t="s">
        <v>135</v>
      </c>
      <c r="B46" s="235">
        <f>'NON-GAAP Sales'!B48</f>
        <v>3500</v>
      </c>
      <c r="C46" s="298">
        <f>'NON-GAAP Sales'!C48</f>
        <v>37025</v>
      </c>
      <c r="D46" s="298">
        <f>'NON-GAAP Sales'!D48</f>
        <v>13941</v>
      </c>
      <c r="E46" s="298">
        <f>'NON-GAAP Sales'!E48</f>
        <v>0</v>
      </c>
      <c r="F46" s="235">
        <f t="shared" ref="F46:F48" si="10">SUM(B46:E46)</f>
        <v>54466</v>
      </c>
    </row>
    <row r="47" spans="1:6" ht="25.5" x14ac:dyDescent="0.2">
      <c r="A47" s="226" t="s">
        <v>143</v>
      </c>
      <c r="B47" s="235">
        <v>0</v>
      </c>
      <c r="C47" s="236">
        <v>0</v>
      </c>
      <c r="D47" s="236">
        <v>0</v>
      </c>
      <c r="E47" s="236">
        <v>5233</v>
      </c>
      <c r="F47" s="235">
        <f t="shared" si="10"/>
        <v>5233</v>
      </c>
    </row>
    <row r="48" spans="1:6" x14ac:dyDescent="0.2">
      <c r="A48" s="226" t="s">
        <v>144</v>
      </c>
      <c r="B48" s="235">
        <v>0</v>
      </c>
      <c r="C48" s="236">
        <v>0</v>
      </c>
      <c r="D48" s="236">
        <v>0</v>
      </c>
      <c r="E48" s="235">
        <v>444</v>
      </c>
      <c r="F48" s="235">
        <f t="shared" si="10"/>
        <v>444</v>
      </c>
    </row>
    <row r="49" spans="1:6" ht="13.5" thickBot="1" x14ac:dyDescent="0.25">
      <c r="A49" s="226" t="s">
        <v>148</v>
      </c>
      <c r="B49" s="262">
        <f>B43-SUM(B45:B48)</f>
        <v>195665</v>
      </c>
      <c r="C49" s="262">
        <f t="shared" ref="C49" si="11">C43-SUM(C45:C48)</f>
        <v>128247</v>
      </c>
      <c r="D49" s="262">
        <f t="shared" ref="D49" si="12">D43-SUM(D45:D48)</f>
        <v>51301</v>
      </c>
      <c r="E49" s="262">
        <f t="shared" ref="E49" si="13">E43-SUM(E45:E48)</f>
        <v>0</v>
      </c>
      <c r="F49" s="262">
        <f t="shared" ref="F49" si="14">F43-SUM(F45:F48)</f>
        <v>375213</v>
      </c>
    </row>
    <row r="50" spans="1:6" ht="13.5" thickTop="1" x14ac:dyDescent="0.2">
      <c r="A50" s="226" t="s">
        <v>137</v>
      </c>
      <c r="B50" s="235">
        <f>'NON-GAAP Sales'!B50</f>
        <v>18091.814760000001</v>
      </c>
      <c r="C50" s="298">
        <f>'NON-GAAP Sales'!C50</f>
        <v>2104.1904599999998</v>
      </c>
      <c r="D50" s="298">
        <f>'NON-GAAP Sales'!D50</f>
        <v>2325.31077</v>
      </c>
      <c r="E50" s="234"/>
      <c r="F50" s="234"/>
    </row>
    <row r="51" spans="1:6" x14ac:dyDescent="0.2">
      <c r="A51" s="226" t="s">
        <v>149</v>
      </c>
      <c r="B51" s="238">
        <f>B49/B50</f>
        <v>10.815111839007132</v>
      </c>
      <c r="C51" s="238">
        <f t="shared" ref="C51" si="15">C49/C50</f>
        <v>60.948380119544886</v>
      </c>
      <c r="D51" s="238">
        <f t="shared" ref="D51" si="16">D49/D50</f>
        <v>22.061997330361137</v>
      </c>
      <c r="E51" s="234"/>
      <c r="F51" s="234"/>
    </row>
    <row r="52" spans="1:6" x14ac:dyDescent="0.2">
      <c r="A52" s="226"/>
      <c r="B52" s="232"/>
      <c r="C52" s="233"/>
      <c r="D52" s="233"/>
      <c r="E52" s="233"/>
      <c r="F52" s="233"/>
    </row>
    <row r="53" spans="1:6" ht="15" x14ac:dyDescent="0.25">
      <c r="A53" s="245"/>
      <c r="B53" s="246"/>
      <c r="C53" s="247"/>
      <c r="D53" s="248"/>
      <c r="E53" s="248"/>
      <c r="F53" s="247"/>
    </row>
    <row r="54" spans="1:6" x14ac:dyDescent="0.2">
      <c r="A54" s="239"/>
      <c r="B54" s="239"/>
      <c r="C54" s="239"/>
      <c r="D54" s="239"/>
      <c r="E54" s="239"/>
      <c r="F54" s="239"/>
    </row>
    <row r="55" spans="1:6" x14ac:dyDescent="0.2">
      <c r="A55" s="239"/>
      <c r="B55" s="239"/>
      <c r="C55" s="239"/>
      <c r="D55" s="239"/>
      <c r="E55" s="239"/>
      <c r="F55" s="239"/>
    </row>
    <row r="56" spans="1:6" x14ac:dyDescent="0.2">
      <c r="A56" s="239"/>
      <c r="B56" s="239"/>
      <c r="C56" s="239"/>
      <c r="D56" s="239"/>
      <c r="E56" s="239"/>
      <c r="F56" s="239"/>
    </row>
    <row r="57" spans="1:6" x14ac:dyDescent="0.2">
      <c r="A57" s="239"/>
      <c r="B57" s="239"/>
      <c r="C57" s="239"/>
      <c r="D57" s="239"/>
      <c r="E57" s="239"/>
      <c r="F57" s="239"/>
    </row>
    <row r="58" spans="1:6" x14ac:dyDescent="0.2">
      <c r="A58" s="239"/>
      <c r="B58" s="239"/>
      <c r="C58" s="239"/>
      <c r="D58" s="239"/>
      <c r="E58" s="239"/>
      <c r="F58" s="239"/>
    </row>
    <row r="59" spans="1:6" x14ac:dyDescent="0.2">
      <c r="A59" s="239"/>
      <c r="B59" s="239"/>
      <c r="C59" s="239"/>
      <c r="D59" s="239"/>
      <c r="E59" s="239"/>
      <c r="F59" s="239"/>
    </row>
    <row r="60" spans="1:6" x14ac:dyDescent="0.2">
      <c r="A60" s="239"/>
      <c r="B60" s="239"/>
      <c r="C60" s="239"/>
      <c r="D60" s="239"/>
      <c r="E60" s="239"/>
      <c r="F60" s="239"/>
    </row>
    <row r="61" spans="1:6" x14ac:dyDescent="0.2">
      <c r="A61" s="239"/>
      <c r="B61" s="239"/>
      <c r="C61" s="239"/>
      <c r="D61" s="239"/>
      <c r="E61" s="239"/>
      <c r="F61" s="239"/>
    </row>
    <row r="62" spans="1:6" x14ac:dyDescent="0.2">
      <c r="A62" s="239"/>
      <c r="B62" s="239"/>
      <c r="C62" s="239"/>
      <c r="D62" s="239"/>
      <c r="E62" s="239"/>
      <c r="F62" s="239"/>
    </row>
    <row r="63" spans="1:6" x14ac:dyDescent="0.2">
      <c r="A63" s="239"/>
      <c r="B63" s="239"/>
      <c r="C63" s="239"/>
      <c r="D63" s="239"/>
      <c r="E63" s="239"/>
      <c r="F63" s="239"/>
    </row>
    <row r="64" spans="1:6" x14ac:dyDescent="0.2">
      <c r="A64" s="239"/>
      <c r="B64" s="239"/>
      <c r="C64" s="239"/>
      <c r="D64" s="239"/>
      <c r="E64" s="239"/>
      <c r="F64" s="239"/>
    </row>
    <row r="65" spans="1:6" x14ac:dyDescent="0.2">
      <c r="A65" s="239"/>
      <c r="B65" s="239"/>
      <c r="C65" s="239"/>
      <c r="D65" s="239"/>
      <c r="E65" s="239"/>
      <c r="F65" s="239"/>
    </row>
    <row r="66" spans="1:6" x14ac:dyDescent="0.2">
      <c r="A66" s="239"/>
      <c r="B66" s="239"/>
      <c r="C66" s="239"/>
      <c r="D66" s="239"/>
      <c r="E66" s="239"/>
      <c r="F66" s="239"/>
    </row>
    <row r="67" spans="1:6" x14ac:dyDescent="0.2">
      <c r="A67" s="239"/>
      <c r="B67" s="239"/>
      <c r="C67" s="239"/>
      <c r="D67" s="239"/>
      <c r="E67" s="239"/>
      <c r="F67" s="239"/>
    </row>
    <row r="68" spans="1:6" x14ac:dyDescent="0.2">
      <c r="A68" s="239"/>
      <c r="B68" s="239"/>
      <c r="C68" s="239"/>
      <c r="D68" s="239"/>
      <c r="E68" s="239"/>
      <c r="F68" s="239"/>
    </row>
    <row r="69" spans="1:6" x14ac:dyDescent="0.2">
      <c r="A69" s="239"/>
      <c r="B69" s="239"/>
      <c r="C69" s="239"/>
      <c r="D69" s="239"/>
      <c r="E69" s="239"/>
      <c r="F69" s="239"/>
    </row>
    <row r="70" spans="1:6" x14ac:dyDescent="0.2">
      <c r="A70" s="239"/>
      <c r="B70" s="239"/>
      <c r="C70" s="239"/>
      <c r="D70" s="239"/>
      <c r="E70" s="239"/>
      <c r="F70" s="239"/>
    </row>
    <row r="71" spans="1:6" x14ac:dyDescent="0.2">
      <c r="A71" s="239"/>
      <c r="B71" s="239"/>
      <c r="C71" s="239"/>
      <c r="D71" s="239"/>
      <c r="E71" s="239"/>
      <c r="F71" s="239"/>
    </row>
    <row r="72" spans="1:6" x14ac:dyDescent="0.2">
      <c r="A72" s="239"/>
      <c r="B72" s="239"/>
      <c r="C72" s="239"/>
      <c r="D72" s="239"/>
      <c r="E72" s="239"/>
      <c r="F72" s="239"/>
    </row>
    <row r="73" spans="1:6" x14ac:dyDescent="0.2">
      <c r="A73" s="239"/>
      <c r="B73" s="239"/>
      <c r="C73" s="239"/>
      <c r="D73" s="239"/>
      <c r="E73" s="239"/>
      <c r="F73" s="239"/>
    </row>
    <row r="74" spans="1:6" x14ac:dyDescent="0.2">
      <c r="A74" s="239"/>
      <c r="B74" s="239"/>
      <c r="C74" s="239"/>
      <c r="D74" s="239"/>
      <c r="E74" s="239"/>
      <c r="F74" s="239"/>
    </row>
    <row r="75" spans="1:6" x14ac:dyDescent="0.2">
      <c r="A75" s="239"/>
      <c r="B75" s="239"/>
      <c r="C75" s="239"/>
      <c r="D75" s="239"/>
      <c r="E75" s="239"/>
      <c r="F75" s="239"/>
    </row>
    <row r="76" spans="1:6" x14ac:dyDescent="0.2">
      <c r="A76" s="239"/>
      <c r="B76" s="239"/>
      <c r="C76" s="239"/>
      <c r="D76" s="239"/>
      <c r="E76" s="239"/>
      <c r="F76" s="239"/>
    </row>
    <row r="77" spans="1:6" x14ac:dyDescent="0.2">
      <c r="A77" s="239"/>
      <c r="B77" s="239"/>
      <c r="C77" s="239"/>
      <c r="D77" s="239"/>
      <c r="E77" s="239"/>
      <c r="F77" s="239"/>
    </row>
    <row r="78" spans="1:6" x14ac:dyDescent="0.2">
      <c r="A78" s="239"/>
      <c r="B78" s="239"/>
      <c r="C78" s="239"/>
      <c r="D78" s="239"/>
      <c r="E78" s="239"/>
      <c r="F78" s="239"/>
    </row>
    <row r="79" spans="1:6" x14ac:dyDescent="0.2">
      <c r="A79" s="239"/>
      <c r="B79" s="239"/>
      <c r="C79" s="239"/>
      <c r="D79" s="239"/>
      <c r="E79" s="239"/>
      <c r="F79" s="239"/>
    </row>
    <row r="80" spans="1:6" x14ac:dyDescent="0.2">
      <c r="A80" s="239"/>
      <c r="B80" s="239"/>
      <c r="C80" s="239"/>
      <c r="D80" s="239"/>
      <c r="E80" s="239"/>
      <c r="F80" s="239"/>
    </row>
    <row r="81" spans="1:6" x14ac:dyDescent="0.2">
      <c r="A81" s="239"/>
      <c r="B81" s="239"/>
      <c r="C81" s="239"/>
      <c r="D81" s="239"/>
      <c r="E81" s="239"/>
      <c r="F81" s="239"/>
    </row>
    <row r="82" spans="1:6" x14ac:dyDescent="0.2">
      <c r="A82" s="239"/>
      <c r="B82" s="239"/>
      <c r="C82" s="239"/>
      <c r="D82" s="239"/>
      <c r="E82" s="239"/>
      <c r="F82" s="239"/>
    </row>
    <row r="83" spans="1:6" x14ac:dyDescent="0.2">
      <c r="A83" s="239"/>
      <c r="B83" s="239"/>
      <c r="C83" s="239"/>
      <c r="D83" s="239"/>
      <c r="E83" s="239"/>
      <c r="F83" s="239"/>
    </row>
    <row r="84" spans="1:6" x14ac:dyDescent="0.2">
      <c r="A84" s="239"/>
      <c r="B84" s="239"/>
      <c r="C84" s="239"/>
      <c r="D84" s="239"/>
      <c r="E84" s="239"/>
      <c r="F84" s="239"/>
    </row>
    <row r="85" spans="1:6" x14ac:dyDescent="0.2">
      <c r="A85" s="239"/>
      <c r="B85" s="239"/>
      <c r="C85" s="239"/>
      <c r="D85" s="239"/>
      <c r="E85" s="239"/>
      <c r="F85" s="239"/>
    </row>
    <row r="86" spans="1:6" x14ac:dyDescent="0.2">
      <c r="A86" s="239"/>
      <c r="B86" s="239"/>
      <c r="C86" s="239"/>
      <c r="D86" s="239"/>
      <c r="E86" s="239"/>
      <c r="F86" s="239"/>
    </row>
    <row r="87" spans="1:6" x14ac:dyDescent="0.2">
      <c r="A87" s="239"/>
      <c r="B87" s="239"/>
      <c r="C87" s="239"/>
      <c r="D87" s="239"/>
      <c r="E87" s="239"/>
      <c r="F87" s="239"/>
    </row>
    <row r="88" spans="1:6" x14ac:dyDescent="0.2">
      <c r="A88" s="239"/>
      <c r="B88" s="239"/>
      <c r="C88" s="239"/>
      <c r="D88" s="239"/>
      <c r="E88" s="239"/>
      <c r="F88" s="239"/>
    </row>
    <row r="89" spans="1:6" x14ac:dyDescent="0.2">
      <c r="A89" s="239"/>
      <c r="B89" s="239"/>
      <c r="C89" s="239"/>
      <c r="D89" s="239"/>
      <c r="E89" s="239"/>
      <c r="F89" s="239"/>
    </row>
    <row r="90" spans="1:6" x14ac:dyDescent="0.2">
      <c r="A90" s="239"/>
      <c r="B90" s="239"/>
      <c r="C90" s="239"/>
      <c r="D90" s="239"/>
      <c r="E90" s="239"/>
      <c r="F90" s="239"/>
    </row>
    <row r="91" spans="1:6" x14ac:dyDescent="0.2">
      <c r="A91" s="239"/>
      <c r="B91" s="239"/>
      <c r="C91" s="239"/>
      <c r="D91" s="239"/>
      <c r="E91" s="239"/>
      <c r="F91" s="239"/>
    </row>
    <row r="92" spans="1:6" x14ac:dyDescent="0.2">
      <c r="A92" s="239"/>
      <c r="B92" s="239"/>
      <c r="C92" s="239"/>
      <c r="D92" s="239"/>
      <c r="E92" s="239"/>
      <c r="F92" s="239"/>
    </row>
    <row r="93" spans="1:6" x14ac:dyDescent="0.2">
      <c r="A93" s="239"/>
      <c r="B93" s="239"/>
      <c r="C93" s="239"/>
      <c r="D93" s="239"/>
      <c r="E93" s="239"/>
      <c r="F93" s="239"/>
    </row>
    <row r="94" spans="1:6" x14ac:dyDescent="0.2">
      <c r="A94" s="239"/>
      <c r="B94" s="239"/>
      <c r="C94" s="239"/>
      <c r="D94" s="239"/>
      <c r="E94" s="239"/>
      <c r="F94" s="239"/>
    </row>
    <row r="95" spans="1:6" x14ac:dyDescent="0.2">
      <c r="A95" s="239"/>
      <c r="B95" s="239"/>
      <c r="C95" s="239"/>
      <c r="D95" s="239"/>
      <c r="E95" s="239"/>
      <c r="F95" s="239"/>
    </row>
    <row r="96" spans="1:6" x14ac:dyDescent="0.2">
      <c r="A96" s="239"/>
      <c r="B96" s="239"/>
      <c r="C96" s="239"/>
      <c r="D96" s="239"/>
      <c r="E96" s="239"/>
      <c r="F96" s="239"/>
    </row>
    <row r="97" spans="1:6" x14ac:dyDescent="0.2">
      <c r="A97" s="239"/>
      <c r="B97" s="239"/>
      <c r="C97" s="239"/>
      <c r="D97" s="239"/>
      <c r="E97" s="239"/>
      <c r="F97" s="239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topLeftCell="A10" zoomScaleNormal="100" workbookViewId="0">
      <selection activeCell="A29" sqref="A29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1" style="1" customWidth="1"/>
    <col min="5" max="6" width="15.83203125" style="1" customWidth="1"/>
    <col min="7" max="16384" width="21.5" style="1"/>
  </cols>
  <sheetData>
    <row r="1" spans="1:7" ht="13.5" customHeight="1" x14ac:dyDescent="0.25">
      <c r="A1" s="303" t="s">
        <v>0</v>
      </c>
      <c r="B1" s="305"/>
      <c r="C1" s="322"/>
      <c r="D1" s="322"/>
      <c r="E1" s="304"/>
      <c r="F1" s="304"/>
      <c r="G1" s="3"/>
    </row>
    <row r="2" spans="1:7" ht="13.5" customHeight="1" x14ac:dyDescent="0.25">
      <c r="A2" s="303" t="s">
        <v>46</v>
      </c>
      <c r="B2" s="305"/>
      <c r="C2" s="322"/>
      <c r="D2" s="322"/>
      <c r="E2" s="322"/>
      <c r="F2" s="305"/>
      <c r="G2" s="3"/>
    </row>
    <row r="3" spans="1:7" ht="13.5" customHeight="1" x14ac:dyDescent="0.25">
      <c r="A3" s="303" t="s">
        <v>1</v>
      </c>
      <c r="B3" s="305"/>
      <c r="C3" s="322"/>
      <c r="D3" s="322"/>
      <c r="E3" s="322"/>
      <c r="F3" s="305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5" t="s">
        <v>192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309" t="s">
        <v>193</v>
      </c>
      <c r="B7" s="305"/>
      <c r="C7" s="305"/>
      <c r="D7" s="305"/>
      <c r="E7" s="305"/>
      <c r="F7" s="305"/>
      <c r="G7" s="3"/>
    </row>
    <row r="8" spans="1:7" ht="13.5" customHeight="1" x14ac:dyDescent="0.2">
      <c r="A8" s="309" t="s">
        <v>194</v>
      </c>
      <c r="B8" s="305"/>
      <c r="C8" s="305"/>
      <c r="D8" s="305"/>
      <c r="E8" s="305"/>
      <c r="F8" s="305"/>
      <c r="G8" s="3"/>
    </row>
    <row r="9" spans="1:7" ht="13.5" customHeight="1" x14ac:dyDescent="0.2">
      <c r="A9" s="300" t="s">
        <v>195</v>
      </c>
      <c r="B9" s="323"/>
      <c r="C9" s="323"/>
      <c r="D9" s="323"/>
      <c r="E9" s="323"/>
      <c r="F9" s="323"/>
      <c r="G9" s="3"/>
    </row>
    <row r="10" spans="1:7" s="191" customFormat="1" ht="13.5" customHeight="1" x14ac:dyDescent="0.2">
      <c r="A10" s="188" t="s">
        <v>116</v>
      </c>
      <c r="B10" s="189"/>
      <c r="C10" s="189"/>
      <c r="D10" s="189"/>
      <c r="E10" s="189"/>
      <c r="F10" s="189"/>
      <c r="G10" s="190"/>
    </row>
    <row r="11" spans="1:7" ht="13.5" customHeight="1" x14ac:dyDescent="0.2">
      <c r="A11" s="305"/>
      <c r="B11" s="305"/>
      <c r="C11" s="305"/>
      <c r="D11" s="305"/>
      <c r="E11" s="305"/>
      <c r="F11" s="305"/>
      <c r="G11" s="3"/>
    </row>
    <row r="12" spans="1:7" ht="13.5" customHeight="1" x14ac:dyDescent="0.2">
      <c r="A12" s="309" t="s">
        <v>196</v>
      </c>
      <c r="B12" s="305"/>
      <c r="C12" s="305"/>
      <c r="D12" s="305"/>
      <c r="E12" s="305"/>
      <c r="F12" s="305"/>
      <c r="G12" s="3"/>
    </row>
    <row r="13" spans="1:7" ht="13.5" customHeight="1" x14ac:dyDescent="0.2">
      <c r="A13" s="309" t="s">
        <v>197</v>
      </c>
      <c r="B13" s="305"/>
      <c r="C13" s="305"/>
      <c r="D13" s="305"/>
      <c r="E13" s="305"/>
      <c r="F13" s="305"/>
      <c r="G13" s="3"/>
    </row>
    <row r="14" spans="1:7" ht="13.5" customHeight="1" x14ac:dyDescent="0.2">
      <c r="A14" s="309" t="s">
        <v>86</v>
      </c>
      <c r="B14" s="305"/>
      <c r="C14" s="305"/>
      <c r="D14" s="305"/>
      <c r="E14" s="305"/>
      <c r="F14" s="305"/>
      <c r="G14" s="3"/>
    </row>
    <row r="15" spans="1:7" ht="13.5" customHeight="1" x14ac:dyDescent="0.2">
      <c r="A15" s="309" t="s">
        <v>198</v>
      </c>
      <c r="B15" s="305"/>
      <c r="C15" s="305"/>
      <c r="D15" s="305"/>
      <c r="E15" s="305"/>
      <c r="F15" s="305"/>
      <c r="G15" s="3"/>
    </row>
    <row r="16" spans="1:7" ht="13.5" customHeight="1" x14ac:dyDescent="0.2">
      <c r="A16" s="309" t="s">
        <v>106</v>
      </c>
      <c r="B16" s="305"/>
      <c r="C16" s="305"/>
      <c r="D16" s="305"/>
      <c r="E16" s="305"/>
      <c r="F16" s="305"/>
      <c r="G16" s="3"/>
    </row>
    <row r="17" spans="1:8" ht="13.5" customHeight="1" x14ac:dyDescent="0.2">
      <c r="A17" s="309" t="s">
        <v>199</v>
      </c>
      <c r="B17" s="305"/>
      <c r="C17" s="305"/>
      <c r="D17" s="305"/>
      <c r="E17" s="305"/>
      <c r="F17" s="305"/>
      <c r="G17" s="3"/>
    </row>
    <row r="18" spans="1:8" ht="13.5" customHeight="1" x14ac:dyDescent="0.2">
      <c r="A18" s="309" t="s">
        <v>200</v>
      </c>
      <c r="B18" s="305"/>
      <c r="C18" s="305"/>
      <c r="D18" s="305"/>
      <c r="E18" s="305"/>
      <c r="F18" s="305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301" t="s">
        <v>203</v>
      </c>
      <c r="C20" s="301"/>
      <c r="D20" s="220"/>
      <c r="E20" s="301" t="s">
        <v>204</v>
      </c>
      <c r="F20" s="301"/>
      <c r="G20" s="3"/>
    </row>
    <row r="21" spans="1:8" ht="12.75" x14ac:dyDescent="0.2">
      <c r="A21" s="3"/>
      <c r="B21" s="148">
        <v>2018</v>
      </c>
      <c r="C21" s="216">
        <v>2017</v>
      </c>
      <c r="D21" s="38"/>
      <c r="E21" s="290">
        <v>2018</v>
      </c>
      <c r="F21" s="216">
        <v>2017</v>
      </c>
      <c r="G21" s="25"/>
      <c r="H21" s="217"/>
    </row>
    <row r="22" spans="1:8" ht="13.5" customHeight="1" x14ac:dyDescent="0.2">
      <c r="A22" s="3"/>
      <c r="B22" s="302" t="s">
        <v>3</v>
      </c>
      <c r="C22" s="302"/>
      <c r="D22" s="302"/>
      <c r="E22" s="302"/>
      <c r="F22" s="302"/>
      <c r="G22" s="142"/>
      <c r="H22" s="142"/>
    </row>
    <row r="23" spans="1:8" ht="13.5" customHeight="1" x14ac:dyDescent="0.2">
      <c r="A23" s="10" t="s">
        <v>120</v>
      </c>
      <c r="B23" s="145">
        <f>'Statements of Operations'!B40</f>
        <v>43306</v>
      </c>
      <c r="C23" s="145">
        <f>'Statements of Operations'!C40</f>
        <v>37160</v>
      </c>
      <c r="D23" s="149"/>
      <c r="E23" s="145">
        <f>'Statements of Operations'!E40</f>
        <v>103291</v>
      </c>
      <c r="F23" s="145">
        <f>'Statements of Operations'!F40</f>
        <v>88828</v>
      </c>
      <c r="G23" s="3"/>
    </row>
    <row r="24" spans="1:8" ht="13.5" customHeight="1" x14ac:dyDescent="0.2">
      <c r="A24" s="9" t="s">
        <v>119</v>
      </c>
      <c r="B24" s="107">
        <f>'Statements of Operations'!B38</f>
        <v>-3366</v>
      </c>
      <c r="C24" s="107">
        <f>'Statements of Operations'!C38</f>
        <v>319</v>
      </c>
      <c r="D24" s="139"/>
      <c r="E24" s="107">
        <f>'Statements of Operations'!E38</f>
        <v>-3910</v>
      </c>
      <c r="F24" s="107">
        <f>'Statements of Operations'!F38</f>
        <v>1159</v>
      </c>
      <c r="G24" s="3"/>
    </row>
    <row r="25" spans="1:8" ht="13.5" customHeight="1" x14ac:dyDescent="0.2">
      <c r="A25" s="9" t="s">
        <v>10</v>
      </c>
      <c r="B25" s="107">
        <f>-'Statements of Operations'!B27</f>
        <v>3498</v>
      </c>
      <c r="C25" s="107">
        <f>-'Statements of Operations'!C27</f>
        <v>5161</v>
      </c>
      <c r="D25" s="107"/>
      <c r="E25" s="107">
        <f>-'Statements of Operations'!E27</f>
        <v>7620</v>
      </c>
      <c r="F25" s="107">
        <f>-'Statements of Operations'!F27</f>
        <v>14059</v>
      </c>
      <c r="G25" s="3"/>
    </row>
    <row r="26" spans="1:8" ht="13.5" customHeight="1" x14ac:dyDescent="0.2">
      <c r="A26" s="9" t="s">
        <v>7</v>
      </c>
      <c r="B26" s="107">
        <f>'Statements of Operations'!B14</f>
        <v>30549</v>
      </c>
      <c r="C26" s="107">
        <f>'Statements of Operations'!C14</f>
        <v>30701</v>
      </c>
      <c r="D26" s="139"/>
      <c r="E26" s="107">
        <f>'Statements of Operations'!E14</f>
        <v>60252</v>
      </c>
      <c r="F26" s="107">
        <f>'Statements of Operations'!F14</f>
        <v>62622</v>
      </c>
      <c r="G26" s="3"/>
    </row>
    <row r="27" spans="1:8" s="125" customFormat="1" ht="13.5" customHeight="1" x14ac:dyDescent="0.2">
      <c r="A27" s="9" t="s">
        <v>83</v>
      </c>
      <c r="B27" s="107">
        <f>'Statements of Operations'!B15</f>
        <v>6993</v>
      </c>
      <c r="C27" s="107">
        <f>'Statements of Operations'!C15</f>
        <v>7623</v>
      </c>
      <c r="D27" s="139"/>
      <c r="E27" s="107">
        <f>'Statements of Operations'!E15</f>
        <v>13985</v>
      </c>
      <c r="F27" s="107">
        <f>'Statements of Operations'!F15</f>
        <v>15246</v>
      </c>
      <c r="G27" s="99"/>
    </row>
    <row r="28" spans="1:8" ht="13.5" customHeight="1" x14ac:dyDescent="0.2">
      <c r="A28" s="9" t="s">
        <v>85</v>
      </c>
      <c r="B28" s="107">
        <f>'Statements of Operations'!B16</f>
        <v>3248</v>
      </c>
      <c r="C28" s="107">
        <f>'Statements of Operations'!C16</f>
        <v>14352</v>
      </c>
      <c r="D28" s="139"/>
      <c r="E28" s="107">
        <f>'Statements of Operations'!E16</f>
        <v>6299</v>
      </c>
      <c r="F28" s="107">
        <f>'Statements of Operations'!F16</f>
        <v>29042</v>
      </c>
      <c r="G28" s="3"/>
    </row>
    <row r="29" spans="1:8" s="276" customFormat="1" ht="13.5" customHeight="1" x14ac:dyDescent="0.2">
      <c r="A29" s="9" t="s">
        <v>187</v>
      </c>
      <c r="B29" s="107">
        <f>-'Statements of Operations'!B32</f>
        <v>-68</v>
      </c>
      <c r="C29" s="107">
        <f>-'Statements of Operations'!C32</f>
        <v>232</v>
      </c>
      <c r="D29" s="139"/>
      <c r="E29" s="107">
        <f>-'Statements of Operations'!E32</f>
        <v>1235</v>
      </c>
      <c r="F29" s="107">
        <f>-'Statements of Operations'!F32</f>
        <v>953</v>
      </c>
      <c r="G29" s="275"/>
    </row>
    <row r="30" spans="1:8" s="50" customFormat="1" ht="13.5" customHeight="1" x14ac:dyDescent="0.2">
      <c r="A30" s="143" t="s">
        <v>76</v>
      </c>
      <c r="B30" s="107">
        <f>-'Statements of Operations'!B33</f>
        <v>485</v>
      </c>
      <c r="C30" s="107">
        <f>-'Statements of Operations'!C33</f>
        <v>31</v>
      </c>
      <c r="D30" s="139"/>
      <c r="E30" s="107">
        <f>-'Statements of Operations'!E33</f>
        <v>485</v>
      </c>
      <c r="F30" s="107">
        <f>-'Statements of Operations'!F33</f>
        <v>2061</v>
      </c>
      <c r="G30" s="49"/>
    </row>
    <row r="31" spans="1:8" s="91" customFormat="1" ht="13.5" customHeight="1" x14ac:dyDescent="0.2">
      <c r="A31" s="9" t="s">
        <v>77</v>
      </c>
      <c r="B31" s="73">
        <f>-'Statements of Operations'!B34</f>
        <v>740</v>
      </c>
      <c r="C31" s="73">
        <f>-'Statements of Operations'!C34</f>
        <v>21</v>
      </c>
      <c r="D31" s="139"/>
      <c r="E31" s="73">
        <f>-'Statements of Operations'!E34</f>
        <v>1041</v>
      </c>
      <c r="F31" s="73">
        <f>-'Statements of Operations'!F34</f>
        <v>2849</v>
      </c>
      <c r="G31" s="90"/>
    </row>
    <row r="32" spans="1:8" ht="13.5" customHeight="1" x14ac:dyDescent="0.2">
      <c r="A32" s="9"/>
      <c r="B32" s="206"/>
      <c r="C32" s="114"/>
      <c r="D32" s="116"/>
      <c r="E32" s="206"/>
      <c r="F32" s="114"/>
      <c r="G32" s="3"/>
    </row>
    <row r="33" spans="1:10" ht="13.5" customHeight="1" thickBot="1" x14ac:dyDescent="0.25">
      <c r="A33" s="10" t="s">
        <v>192</v>
      </c>
      <c r="B33" s="74">
        <f>SUM(B23:B32)</f>
        <v>85385</v>
      </c>
      <c r="C33" s="74">
        <f>SUM(C23:C32)</f>
        <v>95600</v>
      </c>
      <c r="D33" s="149"/>
      <c r="E33" s="74">
        <f>SUM(E23:E32)</f>
        <v>190298</v>
      </c>
      <c r="F33" s="74">
        <f>SUM(F23:F32)</f>
        <v>216819</v>
      </c>
      <c r="G33" s="11"/>
    </row>
    <row r="34" spans="1:10" ht="13.5" customHeight="1" thickTop="1" x14ac:dyDescent="0.2">
      <c r="A34" s="3"/>
      <c r="B34" s="215"/>
      <c r="C34" s="105"/>
      <c r="D34" s="116"/>
      <c r="E34" s="115"/>
      <c r="F34" s="116"/>
      <c r="G34" s="3"/>
    </row>
    <row r="35" spans="1:10" ht="13.5" customHeight="1" x14ac:dyDescent="0.2">
      <c r="A35" s="320" t="s">
        <v>178</v>
      </c>
      <c r="B35" s="321"/>
      <c r="C35" s="321"/>
      <c r="D35" s="3"/>
      <c r="E35" s="25"/>
      <c r="F35" s="25"/>
      <c r="G35" s="3"/>
    </row>
    <row r="36" spans="1:10" ht="13.5" customHeight="1" x14ac:dyDescent="0.2">
      <c r="A36" s="3"/>
      <c r="B36" s="3"/>
      <c r="C36" s="3"/>
      <c r="D36" s="3"/>
      <c r="E36" s="3"/>
      <c r="F36" s="3"/>
      <c r="G36" s="3"/>
    </row>
    <row r="37" spans="1:10" ht="13.5" customHeight="1" x14ac:dyDescent="0.2">
      <c r="A37" s="309" t="s">
        <v>179</v>
      </c>
      <c r="B37" s="321"/>
      <c r="C37" s="321"/>
      <c r="D37" s="305"/>
      <c r="E37" s="321"/>
      <c r="F37" s="321"/>
      <c r="G37" s="3"/>
    </row>
    <row r="38" spans="1:10" ht="13.5" customHeight="1" x14ac:dyDescent="0.2">
      <c r="A38" s="309" t="s">
        <v>180</v>
      </c>
      <c r="B38" s="321"/>
      <c r="C38" s="321"/>
      <c r="D38" s="305"/>
      <c r="E38" s="321"/>
      <c r="F38" s="321"/>
      <c r="G38" s="3"/>
    </row>
    <row r="39" spans="1:10" s="193" customFormat="1" ht="13.5" customHeight="1" x14ac:dyDescent="0.2">
      <c r="A39" s="309" t="s">
        <v>181</v>
      </c>
      <c r="B39" s="309"/>
      <c r="C39" s="309"/>
      <c r="D39" s="309"/>
      <c r="E39" s="309"/>
      <c r="F39" s="309"/>
      <c r="G39" s="192"/>
    </row>
    <row r="40" spans="1:10" s="193" customFormat="1" ht="13.5" customHeight="1" x14ac:dyDescent="0.2">
      <c r="A40" s="309" t="s">
        <v>182</v>
      </c>
      <c r="B40" s="321"/>
      <c r="C40" s="321"/>
      <c r="D40" s="305"/>
      <c r="E40" s="321"/>
      <c r="F40" s="321"/>
      <c r="G40" s="192"/>
    </row>
    <row r="41" spans="1:10" ht="13.5" customHeight="1" x14ac:dyDescent="0.2">
      <c r="A41" s="309" t="s">
        <v>117</v>
      </c>
      <c r="B41" s="321"/>
      <c r="C41" s="321"/>
      <c r="D41" s="305"/>
      <c r="E41" s="321"/>
      <c r="F41" s="321"/>
      <c r="G41" s="3"/>
    </row>
    <row r="42" spans="1:10" ht="13.5" customHeight="1" x14ac:dyDescent="0.2">
      <c r="A42" s="309" t="s">
        <v>183</v>
      </c>
      <c r="B42" s="321"/>
      <c r="C42" s="321"/>
      <c r="D42" s="305"/>
      <c r="E42" s="321"/>
      <c r="F42" s="321"/>
      <c r="G42" s="3"/>
    </row>
    <row r="43" spans="1:10" ht="13.5" customHeight="1" x14ac:dyDescent="0.2">
      <c r="A43" s="309" t="s">
        <v>184</v>
      </c>
      <c r="B43" s="321"/>
      <c r="C43" s="321"/>
      <c r="D43" s="305"/>
      <c r="E43" s="321"/>
      <c r="F43" s="321"/>
      <c r="G43" s="3"/>
    </row>
    <row r="44" spans="1:10" s="197" customFormat="1" ht="13.5" customHeight="1" x14ac:dyDescent="0.2">
      <c r="A44" s="198" t="s">
        <v>118</v>
      </c>
      <c r="B44" s="199"/>
      <c r="C44" s="199"/>
      <c r="D44" s="196"/>
      <c r="E44" s="199"/>
      <c r="F44" s="199"/>
      <c r="G44" s="196"/>
    </row>
    <row r="45" spans="1:10" s="193" customFormat="1" ht="13.5" customHeight="1" x14ac:dyDescent="0.2">
      <c r="A45" s="194"/>
      <c r="B45" s="195"/>
      <c r="C45" s="195"/>
      <c r="D45" s="192"/>
      <c r="E45" s="195"/>
      <c r="F45" s="195"/>
      <c r="G45" s="192"/>
    </row>
    <row r="46" spans="1:10" ht="12.75" x14ac:dyDescent="0.2">
      <c r="A46" s="3"/>
      <c r="B46" s="301" t="str">
        <f>B20</f>
        <v xml:space="preserve">Three Months Ended June 30, </v>
      </c>
      <c r="C46" s="301"/>
      <c r="D46" s="218"/>
      <c r="E46" s="301" t="str">
        <f>E20</f>
        <v xml:space="preserve">Six Months Ended June 30, </v>
      </c>
      <c r="F46" s="301"/>
      <c r="G46" s="3"/>
      <c r="H46" s="319"/>
      <c r="I46" s="308"/>
      <c r="J46" s="308"/>
    </row>
    <row r="47" spans="1:10" ht="12.75" x14ac:dyDescent="0.2">
      <c r="A47" s="3"/>
      <c r="B47" s="148">
        <f>B21</f>
        <v>2018</v>
      </c>
      <c r="C47" s="122">
        <f>C21</f>
        <v>2017</v>
      </c>
      <c r="D47" s="150" t="s">
        <v>2</v>
      </c>
      <c r="E47" s="290">
        <f>E21</f>
        <v>2018</v>
      </c>
      <c r="F47" s="290">
        <f>F21</f>
        <v>2017</v>
      </c>
      <c r="G47" s="10" t="s">
        <v>2</v>
      </c>
      <c r="H47" s="4" t="s">
        <v>2</v>
      </c>
      <c r="I47" s="15" t="s">
        <v>2</v>
      </c>
      <c r="J47" s="4" t="s">
        <v>2</v>
      </c>
    </row>
    <row r="48" spans="1:10" ht="13.5" customHeight="1" x14ac:dyDescent="0.2">
      <c r="A48" s="3"/>
      <c r="B48" s="318" t="s">
        <v>3</v>
      </c>
      <c r="C48" s="318"/>
      <c r="D48" s="318"/>
      <c r="E48" s="318"/>
      <c r="F48" s="318"/>
      <c r="G48" s="3"/>
    </row>
    <row r="49" spans="1:10" ht="13.5" customHeight="1" x14ac:dyDescent="0.2">
      <c r="A49" s="104" t="s">
        <v>120</v>
      </c>
      <c r="B49" s="145">
        <f>B23</f>
        <v>43306</v>
      </c>
      <c r="C49" s="69">
        <f>C23</f>
        <v>37160</v>
      </c>
      <c r="D49" s="108"/>
      <c r="E49" s="145">
        <f>E23</f>
        <v>103291</v>
      </c>
      <c r="F49" s="69">
        <f>F23</f>
        <v>88828</v>
      </c>
      <c r="G49" s="3"/>
      <c r="H49" s="13"/>
      <c r="I49" s="3"/>
      <c r="J49" s="13"/>
    </row>
    <row r="50" spans="1:10" ht="13.5" customHeight="1" x14ac:dyDescent="0.2">
      <c r="A50" s="105"/>
      <c r="B50" s="207"/>
      <c r="C50" s="77"/>
      <c r="D50" s="57"/>
      <c r="E50" s="207"/>
      <c r="F50" s="142"/>
      <c r="G50" s="3"/>
      <c r="H50" s="3"/>
      <c r="I50" s="3"/>
      <c r="J50" s="3"/>
    </row>
    <row r="51" spans="1:10" ht="13.5" customHeight="1" x14ac:dyDescent="0.2">
      <c r="A51" s="59" t="s">
        <v>85</v>
      </c>
      <c r="B51" s="107">
        <f>B28</f>
        <v>3248</v>
      </c>
      <c r="C51" s="71">
        <f>C28</f>
        <v>14352</v>
      </c>
      <c r="D51" s="110"/>
      <c r="E51" s="107">
        <f>E28</f>
        <v>6299</v>
      </c>
      <c r="F51" s="71">
        <f>F28</f>
        <v>29042</v>
      </c>
      <c r="G51" s="82"/>
      <c r="H51" s="16"/>
      <c r="I51" s="3"/>
      <c r="J51" s="16"/>
    </row>
    <row r="52" spans="1:10" s="276" customFormat="1" ht="13.5" customHeight="1" x14ac:dyDescent="0.2">
      <c r="A52" s="59" t="s">
        <v>187</v>
      </c>
      <c r="B52" s="107">
        <f t="shared" ref="B52:C52" si="0">B29</f>
        <v>-68</v>
      </c>
      <c r="C52" s="71">
        <f t="shared" si="0"/>
        <v>232</v>
      </c>
      <c r="D52" s="110"/>
      <c r="E52" s="107">
        <f t="shared" ref="E52:F52" si="1">E29</f>
        <v>1235</v>
      </c>
      <c r="F52" s="71">
        <f t="shared" si="1"/>
        <v>953</v>
      </c>
      <c r="G52" s="82"/>
      <c r="H52" s="277"/>
      <c r="I52" s="275"/>
      <c r="J52" s="277"/>
    </row>
    <row r="53" spans="1:10" s="50" customFormat="1" ht="13.5" customHeight="1" x14ac:dyDescent="0.2">
      <c r="A53" s="143" t="s">
        <v>76</v>
      </c>
      <c r="B53" s="107">
        <f t="shared" ref="B53:C53" si="2">B30</f>
        <v>485</v>
      </c>
      <c r="C53" s="71">
        <f t="shared" si="2"/>
        <v>31</v>
      </c>
      <c r="D53" s="110"/>
      <c r="E53" s="107">
        <f t="shared" ref="E53:F53" si="3">E30</f>
        <v>485</v>
      </c>
      <c r="F53" s="71">
        <f t="shared" si="3"/>
        <v>2061</v>
      </c>
      <c r="G53" s="49"/>
      <c r="H53" s="51"/>
      <c r="I53" s="49"/>
      <c r="J53" s="51"/>
    </row>
    <row r="54" spans="1:10" s="91" customFormat="1" ht="13.5" customHeight="1" x14ac:dyDescent="0.2">
      <c r="A54" s="59" t="s">
        <v>77</v>
      </c>
      <c r="B54" s="107">
        <f t="shared" ref="B54:C54" si="4">B31</f>
        <v>740</v>
      </c>
      <c r="C54" s="71">
        <f t="shared" si="4"/>
        <v>21</v>
      </c>
      <c r="D54" s="110"/>
      <c r="E54" s="107">
        <f t="shared" ref="E54:F54" si="5">E31</f>
        <v>1041</v>
      </c>
      <c r="F54" s="71">
        <f t="shared" si="5"/>
        <v>2849</v>
      </c>
      <c r="G54" s="90"/>
      <c r="H54" s="92"/>
      <c r="I54" s="90"/>
      <c r="J54" s="92"/>
    </row>
    <row r="55" spans="1:10" ht="13.5" customHeight="1" x14ac:dyDescent="0.2">
      <c r="A55" s="59" t="s">
        <v>75</v>
      </c>
      <c r="B55" s="73">
        <f>-ROUND(SUM(B51:B54)*0.02,1)</f>
        <v>-88.1</v>
      </c>
      <c r="C55" s="73">
        <f>-ROUND(SUM(C51:C54)*0.02,1)</f>
        <v>-292.7</v>
      </c>
      <c r="D55" s="111"/>
      <c r="E55" s="73">
        <f>-ROUND(SUM(E51:E54)*0.02,1)</f>
        <v>-181.2</v>
      </c>
      <c r="F55" s="73">
        <f>-ROUND(SUM(F51:F54)*0.02,1)</f>
        <v>-698.1</v>
      </c>
      <c r="G55" s="3"/>
      <c r="H55" s="17"/>
      <c r="I55" s="3"/>
      <c r="J55" s="16"/>
    </row>
    <row r="56" spans="1:10" ht="13.5" customHeight="1" x14ac:dyDescent="0.2">
      <c r="A56" s="117"/>
      <c r="B56" s="146"/>
      <c r="C56" s="46"/>
      <c r="D56" s="46"/>
      <c r="E56" s="146"/>
      <c r="F56" s="46"/>
      <c r="G56" s="3"/>
      <c r="H56" s="3"/>
      <c r="I56" s="3"/>
      <c r="J56" s="3"/>
    </row>
    <row r="57" spans="1:10" ht="13.5" customHeight="1" thickBot="1" x14ac:dyDescent="0.25">
      <c r="A57" s="104" t="s">
        <v>176</v>
      </c>
      <c r="B57" s="74">
        <f>SUM(B49:B55)</f>
        <v>47622.9</v>
      </c>
      <c r="C57" s="74">
        <f>SUM(C49:C55)</f>
        <v>51503.3</v>
      </c>
      <c r="D57" s="108"/>
      <c r="E57" s="74">
        <f>SUM(E49:E55)</f>
        <v>112169.8</v>
      </c>
      <c r="F57" s="74">
        <f>SUM(F49:F55)</f>
        <v>123034.9</v>
      </c>
      <c r="G57" s="13"/>
      <c r="H57" s="13"/>
      <c r="I57" s="13"/>
      <c r="J57" s="13"/>
    </row>
    <row r="58" spans="1:10" ht="13.5" customHeight="1" thickTop="1" x14ac:dyDescent="0.2">
      <c r="A58" s="57"/>
      <c r="B58" s="146"/>
      <c r="C58" s="46"/>
      <c r="D58" s="46"/>
      <c r="E58" s="146"/>
      <c r="F58" s="46"/>
      <c r="G58" s="8"/>
      <c r="H58" s="18"/>
      <c r="I58" s="8"/>
      <c r="J58" s="18"/>
    </row>
    <row r="59" spans="1:10" ht="13.5" customHeight="1" thickBot="1" x14ac:dyDescent="0.25">
      <c r="A59" s="104" t="s">
        <v>13</v>
      </c>
      <c r="B59" s="208">
        <f>'Statements of Operations'!B48</f>
        <v>21036</v>
      </c>
      <c r="C59" s="126">
        <f>'Statements of Operations'!C48</f>
        <v>25082</v>
      </c>
      <c r="D59" s="132"/>
      <c r="E59" s="208">
        <f>'Statements of Operations'!E48</f>
        <v>21456</v>
      </c>
      <c r="F59" s="126">
        <f>'Statements of Operations'!F48</f>
        <v>25245</v>
      </c>
      <c r="G59" s="3"/>
      <c r="H59" s="16"/>
      <c r="I59" s="3"/>
      <c r="J59" s="16"/>
    </row>
    <row r="60" spans="1:10" ht="13.5" customHeight="1" thickTop="1" x14ac:dyDescent="0.2">
      <c r="A60" s="105"/>
      <c r="B60" s="116"/>
      <c r="C60" s="133"/>
      <c r="D60" s="132"/>
      <c r="E60" s="116"/>
      <c r="F60" s="133"/>
      <c r="G60" s="3"/>
    </row>
    <row r="61" spans="1:10" ht="13.5" customHeight="1" x14ac:dyDescent="0.2">
      <c r="A61" s="104" t="s">
        <v>125</v>
      </c>
      <c r="B61" s="209">
        <f>'Statements of Operations'!B44</f>
        <v>2.06</v>
      </c>
      <c r="C61" s="134">
        <f>'Statements of Operations'!C44</f>
        <v>1.48</v>
      </c>
      <c r="D61" s="135"/>
      <c r="E61" s="209">
        <f>'Statements of Operations'!E44</f>
        <v>4.8099999999999996</v>
      </c>
      <c r="F61" s="134">
        <f>'Statements of Operations'!F44</f>
        <v>3.52</v>
      </c>
      <c r="G61" s="3"/>
      <c r="H61" s="12"/>
      <c r="I61" s="3"/>
      <c r="J61" s="12"/>
    </row>
    <row r="62" spans="1:10" ht="13.5" customHeight="1" x14ac:dyDescent="0.2">
      <c r="A62" s="105"/>
      <c r="B62" s="210"/>
      <c r="C62" s="78"/>
      <c r="D62" s="46"/>
      <c r="E62" s="210"/>
      <c r="F62" s="78"/>
      <c r="G62" s="3"/>
      <c r="H62" s="3"/>
      <c r="I62" s="3"/>
      <c r="J62" s="3"/>
    </row>
    <row r="63" spans="1:10" ht="13.5" customHeight="1" x14ac:dyDescent="0.2">
      <c r="A63" s="59" t="s">
        <v>85</v>
      </c>
      <c r="B63" s="211">
        <f>ROUND(B51/$B$59,2)</f>
        <v>0.15</v>
      </c>
      <c r="C63" s="136">
        <f>ROUND(C51/$C$59,2)</f>
        <v>0.56999999999999995</v>
      </c>
      <c r="D63" s="109"/>
      <c r="E63" s="211">
        <f>ROUND(E51/$B$59,2)</f>
        <v>0.3</v>
      </c>
      <c r="F63" s="136">
        <f>ROUND(F51/$C$59,2)</f>
        <v>1.1599999999999999</v>
      </c>
      <c r="G63" s="19"/>
      <c r="H63" s="19"/>
      <c r="I63" s="3"/>
      <c r="J63" s="12"/>
    </row>
    <row r="64" spans="1:10" s="276" customFormat="1" ht="13.5" customHeight="1" x14ac:dyDescent="0.2">
      <c r="A64" s="59" t="s">
        <v>187</v>
      </c>
      <c r="B64" s="211">
        <f>ROUND(B52/$B$59,2)</f>
        <v>0</v>
      </c>
      <c r="C64" s="136">
        <f>ROUND(C52/$C$59,2)</f>
        <v>0.01</v>
      </c>
      <c r="D64" s="109"/>
      <c r="E64" s="211">
        <f>ROUND(E52/$B$59,2)</f>
        <v>0.06</v>
      </c>
      <c r="F64" s="136">
        <f>ROUND(F52/$C$59,2)</f>
        <v>0.04</v>
      </c>
      <c r="G64" s="19"/>
      <c r="H64" s="19"/>
      <c r="I64" s="275"/>
      <c r="J64" s="12"/>
    </row>
    <row r="65" spans="1:10" s="50" customFormat="1" ht="13.5" customHeight="1" x14ac:dyDescent="0.2">
      <c r="A65" s="143" t="s">
        <v>76</v>
      </c>
      <c r="B65" s="211">
        <f>ROUND(B53/$B$59,2)</f>
        <v>0.02</v>
      </c>
      <c r="C65" s="136">
        <f>ROUND(C53/$C$59,2)</f>
        <v>0</v>
      </c>
      <c r="D65" s="109"/>
      <c r="E65" s="211">
        <f>ROUND(E53/$B$59,2)</f>
        <v>0.02</v>
      </c>
      <c r="F65" s="136">
        <f>ROUND(F53/$C$59,2)</f>
        <v>0.08</v>
      </c>
      <c r="G65" s="19"/>
      <c r="H65" s="19"/>
      <c r="I65" s="49"/>
      <c r="J65" s="12"/>
    </row>
    <row r="66" spans="1:10" s="97" customFormat="1" ht="13.5" customHeight="1" x14ac:dyDescent="0.2">
      <c r="A66" s="59" t="s">
        <v>77</v>
      </c>
      <c r="B66" s="211">
        <f>ROUND(B54/$B$59,2)</f>
        <v>0.04</v>
      </c>
      <c r="C66" s="136">
        <f>ROUND(C54/$C$59,2)</f>
        <v>0</v>
      </c>
      <c r="D66" s="109"/>
      <c r="E66" s="211">
        <f>ROUND(E54/$B$59,2)</f>
        <v>0.05</v>
      </c>
      <c r="F66" s="136">
        <f>ROUND(F54/$C$59,2)</f>
        <v>0.11</v>
      </c>
      <c r="G66" s="19"/>
      <c r="H66" s="19"/>
      <c r="I66" s="96"/>
      <c r="J66" s="12"/>
    </row>
    <row r="67" spans="1:10" ht="13.5" customHeight="1" x14ac:dyDescent="0.2">
      <c r="A67" s="59" t="s">
        <v>48</v>
      </c>
      <c r="B67" s="211">
        <f>B68-SUM(B61:B66)</f>
        <v>-6.1237877923558948E-3</v>
      </c>
      <c r="C67" s="136">
        <f>C68-SUM(C61:C66)</f>
        <v>-6.6031416952392341E-3</v>
      </c>
      <c r="D67" s="109"/>
      <c r="E67" s="211">
        <f>E68-SUM(E61:E66)</f>
        <v>-1.2101043997015282E-2</v>
      </c>
      <c r="F67" s="136">
        <f>F68-SUM(F61:F66)</f>
        <v>-3.6365616953852431E-2</v>
      </c>
      <c r="G67" s="19"/>
      <c r="H67" s="19"/>
      <c r="I67" s="3"/>
      <c r="J67" s="19"/>
    </row>
    <row r="68" spans="1:10" ht="13.5" customHeight="1" thickBot="1" x14ac:dyDescent="0.25">
      <c r="A68" s="104" t="s">
        <v>126</v>
      </c>
      <c r="B68" s="212">
        <f>B57/B59</f>
        <v>2.2638762122076441</v>
      </c>
      <c r="C68" s="140">
        <f>C57/C59</f>
        <v>2.0533968583047604</v>
      </c>
      <c r="D68" s="112"/>
      <c r="E68" s="212">
        <f>E57/E59</f>
        <v>5.2278989560029832</v>
      </c>
      <c r="F68" s="140">
        <f>F57/F59</f>
        <v>4.8736343830461477</v>
      </c>
      <c r="G68" s="3"/>
      <c r="H68" s="12"/>
      <c r="I68" s="3"/>
      <c r="J68" s="12"/>
    </row>
    <row r="69" spans="1:10" ht="13.5" customHeight="1" thickTop="1" x14ac:dyDescent="0.2">
      <c r="A69" s="46"/>
      <c r="B69" s="118"/>
      <c r="C69" s="119"/>
      <c r="D69" s="57"/>
      <c r="E69" s="120"/>
      <c r="F69" s="121"/>
    </row>
    <row r="70" spans="1:10" ht="13.5" hidden="1" customHeight="1" x14ac:dyDescent="0.2">
      <c r="A70" s="261" t="s">
        <v>150</v>
      </c>
      <c r="B70" s="259"/>
      <c r="C70" s="259"/>
      <c r="D70" s="259"/>
      <c r="E70" s="259"/>
      <c r="F70" s="259"/>
    </row>
    <row r="71" spans="1:10" ht="13.5" hidden="1" customHeight="1" x14ac:dyDescent="0.2">
      <c r="A71" s="259"/>
      <c r="B71" s="259"/>
      <c r="C71" s="259"/>
      <c r="D71" s="259"/>
      <c r="E71" s="259"/>
      <c r="F71" s="259"/>
    </row>
    <row r="72" spans="1:10" ht="13.5" hidden="1" customHeight="1" x14ac:dyDescent="0.2">
      <c r="A72" s="309" t="s">
        <v>152</v>
      </c>
      <c r="B72" s="309"/>
      <c r="C72" s="309"/>
      <c r="D72" s="309"/>
      <c r="E72" s="309"/>
      <c r="F72" s="309"/>
    </row>
    <row r="73" spans="1:10" ht="13.5" hidden="1" customHeight="1" x14ac:dyDescent="0.2">
      <c r="A73" s="309" t="s">
        <v>153</v>
      </c>
      <c r="B73" s="309"/>
      <c r="C73" s="309"/>
      <c r="D73" s="309"/>
      <c r="E73" s="309"/>
      <c r="F73" s="309"/>
    </row>
    <row r="74" spans="1:10" ht="13.5" hidden="1" customHeight="1" x14ac:dyDescent="0.2">
      <c r="A74" s="300" t="s">
        <v>154</v>
      </c>
      <c r="B74" s="300"/>
      <c r="C74" s="300"/>
      <c r="D74" s="300"/>
      <c r="E74" s="300"/>
      <c r="F74" s="300"/>
    </row>
    <row r="75" spans="1:10" ht="13.5" hidden="1" customHeight="1" x14ac:dyDescent="0.2">
      <c r="A75" s="256"/>
      <c r="B75" s="257"/>
      <c r="C75" s="257"/>
      <c r="D75" s="257"/>
      <c r="E75" s="257"/>
      <c r="F75" s="257"/>
    </row>
    <row r="76" spans="1:10" ht="13.5" hidden="1" customHeight="1" x14ac:dyDescent="0.2">
      <c r="A76" s="305"/>
      <c r="B76" s="305"/>
      <c r="C76" s="305"/>
      <c r="D76" s="305"/>
      <c r="E76" s="305"/>
      <c r="F76" s="305"/>
    </row>
    <row r="77" spans="1:10" ht="13.5" hidden="1" customHeight="1" x14ac:dyDescent="0.2">
      <c r="A77" s="259"/>
      <c r="B77" s="317" t="str">
        <f>B20</f>
        <v xml:space="preserve">Three Months Ended June 30, </v>
      </c>
      <c r="C77" s="317"/>
      <c r="D77" s="220"/>
      <c r="E77" s="152"/>
      <c r="F77" s="152"/>
    </row>
    <row r="78" spans="1:10" ht="12.75" hidden="1" x14ac:dyDescent="0.2">
      <c r="A78" s="259"/>
      <c r="B78" s="268">
        <f>B21</f>
        <v>2018</v>
      </c>
      <c r="C78" s="258">
        <f>C21</f>
        <v>2017</v>
      </c>
      <c r="D78" s="38"/>
      <c r="E78" s="217"/>
      <c r="F78" s="217"/>
    </row>
    <row r="79" spans="1:10" ht="13.5" hidden="1" customHeight="1" x14ac:dyDescent="0.2">
      <c r="A79" s="259"/>
      <c r="B79" s="306" t="s">
        <v>3</v>
      </c>
      <c r="C79" s="306"/>
      <c r="D79" s="147"/>
      <c r="E79" s="144"/>
      <c r="F79" s="144"/>
    </row>
    <row r="80" spans="1:10" ht="13.5" hidden="1" customHeight="1" x14ac:dyDescent="0.2">
      <c r="A80" s="263" t="s">
        <v>173</v>
      </c>
      <c r="B80" s="145">
        <f>'Statement of Cash Flows'!B28</f>
        <v>144996</v>
      </c>
      <c r="C80" s="145">
        <f>'Statement of Cash Flows'!C28</f>
        <v>200799</v>
      </c>
      <c r="D80" s="149"/>
      <c r="E80" s="145"/>
      <c r="F80" s="145"/>
    </row>
    <row r="81" spans="1:6" ht="13.5" hidden="1" customHeight="1" x14ac:dyDescent="0.2">
      <c r="A81" s="263" t="s">
        <v>151</v>
      </c>
      <c r="B81" s="73">
        <f>'Statement of Cash Flows'!B31</f>
        <v>-30049</v>
      </c>
      <c r="C81" s="73">
        <f>'Statement of Cash Flows'!C31</f>
        <v>-16922</v>
      </c>
      <c r="D81" s="139"/>
      <c r="E81" s="107"/>
      <c r="F81" s="107"/>
    </row>
    <row r="82" spans="1:6" ht="13.5" hidden="1" customHeight="1" x14ac:dyDescent="0.2">
      <c r="A82" s="9"/>
      <c r="B82" s="206"/>
      <c r="C82" s="206"/>
      <c r="D82" s="116"/>
      <c r="E82" s="206"/>
      <c r="F82" s="206"/>
    </row>
    <row r="83" spans="1:6" ht="13.5" hidden="1" customHeight="1" thickBot="1" x14ac:dyDescent="0.25">
      <c r="A83" s="260" t="s">
        <v>155</v>
      </c>
      <c r="B83" s="74">
        <f>SUM(B80:B82)</f>
        <v>114947</v>
      </c>
      <c r="C83" s="74">
        <f>SUM(C80:C82)</f>
        <v>183877</v>
      </c>
      <c r="D83" s="149"/>
      <c r="E83" s="145"/>
      <c r="F83" s="145"/>
    </row>
    <row r="84" spans="1:6" ht="13.5" hidden="1" customHeight="1" thickTop="1" x14ac:dyDescent="0.2">
      <c r="A84" s="259"/>
      <c r="B84" s="215"/>
      <c r="C84" s="257"/>
      <c r="D84" s="116"/>
      <c r="E84" s="115"/>
      <c r="F84" s="116"/>
    </row>
    <row r="85" spans="1:6" ht="13.5" hidden="1" customHeight="1" x14ac:dyDescent="0.2"/>
  </sheetData>
  <mergeCells count="35">
    <mergeCell ref="A14:F14"/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H46:J46"/>
    <mergeCell ref="A35:C35"/>
    <mergeCell ref="A37:F37"/>
    <mergeCell ref="A38:F38"/>
    <mergeCell ref="A40:F40"/>
    <mergeCell ref="A41:F41"/>
    <mergeCell ref="A42:F42"/>
    <mergeCell ref="A43:F43"/>
    <mergeCell ref="A39:F39"/>
    <mergeCell ref="B46:C46"/>
    <mergeCell ref="E46:F46"/>
    <mergeCell ref="A15:F15"/>
    <mergeCell ref="A16:F16"/>
    <mergeCell ref="A18:F18"/>
    <mergeCell ref="A17:F17"/>
    <mergeCell ref="B77:C77"/>
    <mergeCell ref="B20:C20"/>
    <mergeCell ref="E20:F20"/>
    <mergeCell ref="B22:F22"/>
    <mergeCell ref="B48:F48"/>
    <mergeCell ref="B79:C79"/>
    <mergeCell ref="A72:F72"/>
    <mergeCell ref="A73:F73"/>
    <mergeCell ref="A74:F74"/>
    <mergeCell ref="A76:F76"/>
  </mergeCells>
  <pageMargins left="0.7" right="0.7" top="0.75" bottom="0.75" header="0.3" footer="0.3"/>
  <pageSetup scale="64" orientation="portrait" r:id="rId1"/>
  <ignoredErrors>
    <ignoredError sqref="B69 B57:B58 B60 G59 B62 G61 C69:D69 C57:D58 C60:D60 D59 C62:D62 D61 D63 D67 G63 G67 D68 G68 G69 G57:G58 G60 G62 D65 G6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Statements of Operations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'Reconciliation page'!Print_Area</vt:lpstr>
      <vt:lpstr>'Statement of Cash Flows'!Print_Area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Bonacorsi, Logan</cp:lastModifiedBy>
  <cp:lastPrinted>2018-07-27T15:31:42Z</cp:lastPrinted>
  <dcterms:created xsi:type="dcterms:W3CDTF">2015-01-20T16:57:13Z</dcterms:created>
  <dcterms:modified xsi:type="dcterms:W3CDTF">2018-07-30T21:04:25Z</dcterms:modified>
</cp:coreProperties>
</file>