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TL-Accounting\stlmacct\lorson\External Financial Reporting\2018\Q3-2018\"/>
    </mc:Choice>
  </mc:AlternateContent>
  <bookViews>
    <workbookView xWindow="240" yWindow="360" windowWidth="21075" windowHeight="9540" firstSheet="1" activeTab="6"/>
  </bookViews>
  <sheets>
    <sheet name="Statements of Operations" sheetId="1" r:id="rId1"/>
    <sheet name="Balance Sheet" sheetId="2" r:id="rId2"/>
    <sheet name="Statement of Cash Flows" sheetId="4" r:id="rId3"/>
    <sheet name="Debt Schedule" sheetId="5" r:id="rId4"/>
    <sheet name="Operational Performance" sheetId="8" r:id="rId5"/>
    <sheet name="NON-GAAP Sales" sheetId="9" r:id="rId6"/>
    <sheet name="NON-GAAP COGS" sheetId="10" r:id="rId7"/>
    <sheet name="Reconciliation page" sheetId="3" r:id="rId8"/>
  </sheets>
  <definedNames>
    <definedName name="OLE_LINK1" localSheetId="6">'NON-GAAP COGS'!$A$7</definedName>
    <definedName name="OLE_LINK1" localSheetId="5">'NON-GAAP Sales'!$A$10</definedName>
    <definedName name="_xlnm.Print_Area" localSheetId="1">'Balance Sheet'!$A$1:$C$52</definedName>
    <definedName name="_xlnm.Print_Area" localSheetId="7">'Reconciliation page'!$A$5:$F$87</definedName>
    <definedName name="_xlnm.Print_Area" localSheetId="2">'Statement of Cash Flows'!$A$1:$C$60</definedName>
    <definedName name="_xlnm.Print_Area" localSheetId="0">'Statements of Operations'!$A$1:$F$55</definedName>
    <definedName name="_xlnm.Print_Titles" localSheetId="7">'Reconciliation page'!$1:$4</definedName>
  </definedNames>
  <calcPr calcId="162913"/>
</workbook>
</file>

<file path=xl/calcChain.xml><?xml version="1.0" encoding="utf-8"?>
<calcChain xmlns="http://schemas.openxmlformats.org/spreadsheetml/2006/main">
  <c r="B17" i="10" l="1"/>
  <c r="B44" i="9"/>
  <c r="B20" i="9"/>
  <c r="B27" i="4" l="1"/>
  <c r="B26" i="4"/>
  <c r="B42" i="2"/>
  <c r="B33" i="2"/>
  <c r="B26" i="2"/>
  <c r="C26" i="8" l="1"/>
  <c r="C25" i="8"/>
  <c r="C19" i="8"/>
  <c r="C18" i="8"/>
  <c r="C12" i="8"/>
  <c r="C11" i="8"/>
  <c r="C9" i="5" l="1"/>
  <c r="C33" i="10" l="1"/>
  <c r="D33" i="10"/>
  <c r="E33" i="10"/>
  <c r="B33" i="10"/>
  <c r="B37" i="10"/>
  <c r="C37" i="10"/>
  <c r="D37" i="10"/>
  <c r="B66" i="3"/>
  <c r="C66" i="3"/>
  <c r="E66" i="3"/>
  <c r="F66" i="3"/>
  <c r="F29" i="3"/>
  <c r="F53" i="3" s="1"/>
  <c r="E29" i="3"/>
  <c r="E53" i="3" s="1"/>
  <c r="C29" i="3"/>
  <c r="C53" i="3" s="1"/>
  <c r="B29" i="3"/>
  <c r="B53" i="3" s="1"/>
  <c r="F61" i="2" l="1"/>
  <c r="B32" i="2" l="1"/>
  <c r="B19" i="2"/>
  <c r="I14" i="1"/>
  <c r="I15" i="1"/>
  <c r="I16" i="1"/>
  <c r="I17" i="1"/>
  <c r="I18" i="1"/>
  <c r="I19" i="1"/>
  <c r="I22" i="1"/>
  <c r="I24" i="1"/>
  <c r="I25" i="1"/>
  <c r="I26" i="1"/>
  <c r="I27" i="1"/>
  <c r="I29" i="1"/>
  <c r="I31" i="1"/>
  <c r="I32" i="1"/>
  <c r="I33" i="1"/>
  <c r="I34" i="1"/>
  <c r="I35" i="1"/>
  <c r="I37" i="1"/>
  <c r="I39" i="1"/>
  <c r="I40" i="1"/>
  <c r="I42" i="1"/>
  <c r="I43" i="1"/>
  <c r="I46" i="1"/>
  <c r="I47" i="1"/>
  <c r="I48" i="1"/>
  <c r="I49" i="1"/>
  <c r="I50" i="1"/>
  <c r="I51" i="1"/>
  <c r="I52" i="1"/>
  <c r="I10" i="1"/>
  <c r="E20" i="1"/>
  <c r="I20" i="1" s="1"/>
  <c r="E13" i="1"/>
  <c r="I13" i="1" s="1"/>
  <c r="C20" i="1" l="1"/>
  <c r="F20" i="1"/>
  <c r="C18" i="1"/>
  <c r="F18" i="1"/>
  <c r="C13" i="1"/>
  <c r="F13" i="1"/>
  <c r="E49" i="9" l="1"/>
  <c r="D49" i="9"/>
  <c r="C49" i="9"/>
  <c r="B49" i="9"/>
  <c r="E37" i="9"/>
  <c r="D37" i="9"/>
  <c r="C37" i="9"/>
  <c r="B37" i="9"/>
  <c r="C25" i="9"/>
  <c r="D25" i="9"/>
  <c r="E25" i="9"/>
  <c r="B25" i="9"/>
  <c r="C46" i="10" l="1"/>
  <c r="D46" i="10"/>
  <c r="E46" i="10"/>
  <c r="B46" i="10"/>
  <c r="E20" i="10" l="1"/>
  <c r="C20" i="10"/>
  <c r="D20" i="10"/>
  <c r="B20" i="10"/>
  <c r="C50" i="10"/>
  <c r="D50" i="10"/>
  <c r="B50" i="10"/>
  <c r="C24" i="10"/>
  <c r="D24" i="10"/>
  <c r="B24" i="10"/>
  <c r="F48" i="4" l="1"/>
  <c r="F47" i="4"/>
  <c r="F46" i="4"/>
  <c r="F45" i="4"/>
  <c r="F44" i="4"/>
  <c r="F43" i="4"/>
  <c r="F42" i="4"/>
  <c r="F41" i="4"/>
  <c r="F40" i="4"/>
  <c r="F36" i="4"/>
  <c r="F35" i="4"/>
  <c r="F34" i="4"/>
  <c r="F33" i="4"/>
  <c r="F32" i="4"/>
  <c r="F31" i="4"/>
  <c r="F27" i="4"/>
  <c r="F26" i="4"/>
  <c r="F25" i="4"/>
  <c r="F24" i="4"/>
  <c r="F23" i="4"/>
  <c r="F15" i="4"/>
  <c r="F16" i="4"/>
  <c r="F17" i="4"/>
  <c r="F18" i="4"/>
  <c r="F19" i="4"/>
  <c r="F20" i="4"/>
  <c r="F60" i="4"/>
  <c r="E60" i="4"/>
  <c r="E52" i="4"/>
  <c r="E49" i="4"/>
  <c r="E37" i="4"/>
  <c r="E28" i="4"/>
  <c r="F49" i="4" l="1"/>
  <c r="F37" i="4"/>
  <c r="E51" i="4"/>
  <c r="E54" i="4" s="1"/>
  <c r="B14" i="4"/>
  <c r="F14" i="4" s="1"/>
  <c r="B13" i="4"/>
  <c r="F13" i="4" s="1"/>
  <c r="B12" i="4"/>
  <c r="F12" i="4" s="1"/>
  <c r="C14" i="4" l="1"/>
  <c r="C13" i="4"/>
  <c r="C12" i="4"/>
  <c r="F61" i="3" l="1"/>
  <c r="E61" i="3"/>
  <c r="F48" i="3"/>
  <c r="E48" i="3"/>
  <c r="E47" i="3"/>
  <c r="F32" i="3"/>
  <c r="F56" i="3" s="1"/>
  <c r="E32" i="3"/>
  <c r="E56" i="3" s="1"/>
  <c r="F31" i="3"/>
  <c r="F55" i="3" s="1"/>
  <c r="E31" i="3"/>
  <c r="E55" i="3" s="1"/>
  <c r="F30" i="3"/>
  <c r="F54" i="3" s="1"/>
  <c r="E30" i="3"/>
  <c r="E54" i="3" s="1"/>
  <c r="F28" i="3"/>
  <c r="F52" i="3" s="1"/>
  <c r="E28" i="3"/>
  <c r="E52" i="3" s="1"/>
  <c r="F27" i="3"/>
  <c r="E27" i="3"/>
  <c r="F26" i="3"/>
  <c r="E26" i="3"/>
  <c r="F24" i="3"/>
  <c r="E24" i="3"/>
  <c r="E57" i="3" l="1"/>
  <c r="F57" i="3"/>
  <c r="E36" i="1"/>
  <c r="I36" i="1" s="1"/>
  <c r="F36" i="1"/>
  <c r="F28" i="1"/>
  <c r="F25" i="3" s="1"/>
  <c r="E28" i="1"/>
  <c r="F21" i="1"/>
  <c r="F23" i="1" s="1"/>
  <c r="E21" i="1"/>
  <c r="E25" i="3" l="1"/>
  <c r="I28" i="1"/>
  <c r="E23" i="1"/>
  <c r="I23" i="1" s="1"/>
  <c r="I21" i="1"/>
  <c r="E30" i="1"/>
  <c r="F30" i="1"/>
  <c r="F38" i="1" s="1"/>
  <c r="F41" i="1" s="1"/>
  <c r="C10" i="4" s="1"/>
  <c r="E38" i="1" l="1"/>
  <c r="I30" i="1"/>
  <c r="F45" i="1"/>
  <c r="F63" i="3" s="1"/>
  <c r="F23" i="3"/>
  <c r="F44" i="1"/>
  <c r="B80" i="3"/>
  <c r="B81" i="3"/>
  <c r="C81" i="3"/>
  <c r="B84" i="3"/>
  <c r="C84" i="3"/>
  <c r="E41" i="1" l="1"/>
  <c r="I38" i="1"/>
  <c r="F50" i="3"/>
  <c r="F59" i="3" s="1"/>
  <c r="F71" i="3" s="1"/>
  <c r="F34" i="3"/>
  <c r="F53" i="1" s="1"/>
  <c r="I41" i="1" l="1"/>
  <c r="E45" i="1"/>
  <c r="E23" i="3"/>
  <c r="B10" i="4"/>
  <c r="F10" i="4" s="1"/>
  <c r="F28" i="4" s="1"/>
  <c r="F51" i="4" s="1"/>
  <c r="F54" i="4" s="1"/>
  <c r="F56" i="2"/>
  <c r="E44" i="1"/>
  <c r="I44" i="1" s="1"/>
  <c r="F54" i="1"/>
  <c r="E63" i="3" l="1"/>
  <c r="I45" i="1"/>
  <c r="E50" i="3"/>
  <c r="E59" i="3" s="1"/>
  <c r="E71" i="3" s="1"/>
  <c r="E54" i="1" s="1"/>
  <c r="I54" i="1" s="1"/>
  <c r="E34" i="3"/>
  <c r="E53" i="1" s="1"/>
  <c r="I53" i="1" s="1"/>
  <c r="B30" i="3"/>
  <c r="B54" i="3" s="1"/>
  <c r="E49" i="10" l="1"/>
  <c r="D49" i="10"/>
  <c r="D51" i="10" s="1"/>
  <c r="C49" i="10"/>
  <c r="C51" i="10" s="1"/>
  <c r="B49" i="10"/>
  <c r="B51" i="10" s="1"/>
  <c r="F48" i="10"/>
  <c r="F47" i="10"/>
  <c r="F46" i="10"/>
  <c r="F45" i="10"/>
  <c r="F43" i="10"/>
  <c r="E23" i="10"/>
  <c r="D23" i="10"/>
  <c r="D25" i="10" s="1"/>
  <c r="C23" i="10"/>
  <c r="C25" i="10" s="1"/>
  <c r="B23" i="10"/>
  <c r="B25" i="10" s="1"/>
  <c r="F22" i="10"/>
  <c r="F21" i="10"/>
  <c r="F20" i="10"/>
  <c r="F19" i="10"/>
  <c r="F17" i="10"/>
  <c r="C36" i="10"/>
  <c r="C38" i="10" s="1"/>
  <c r="D36" i="10"/>
  <c r="D38" i="10" s="1"/>
  <c r="E36" i="10"/>
  <c r="B36" i="10"/>
  <c r="B38" i="10" s="1"/>
  <c r="F33" i="10"/>
  <c r="F34" i="10"/>
  <c r="F35" i="10"/>
  <c r="F32" i="10"/>
  <c r="F30" i="10"/>
  <c r="F48" i="9"/>
  <c r="F47" i="9"/>
  <c r="F46" i="9"/>
  <c r="D51" i="9"/>
  <c r="C51" i="9"/>
  <c r="B51" i="9"/>
  <c r="F44" i="9"/>
  <c r="F24" i="9"/>
  <c r="F23" i="9"/>
  <c r="F22" i="9"/>
  <c r="D27" i="9"/>
  <c r="C27" i="9"/>
  <c r="B27" i="9"/>
  <c r="F20" i="9"/>
  <c r="F36" i="9"/>
  <c r="F35" i="9"/>
  <c r="F34" i="9"/>
  <c r="C39" i="9"/>
  <c r="D39" i="9"/>
  <c r="B39" i="9"/>
  <c r="F32" i="9"/>
  <c r="F49" i="9" l="1"/>
  <c r="F37" i="9"/>
  <c r="F25" i="9"/>
  <c r="F49" i="10"/>
  <c r="F23" i="10"/>
  <c r="F36" i="10"/>
  <c r="A41" i="10" l="1"/>
  <c r="A28" i="10"/>
  <c r="A15" i="10"/>
  <c r="B47" i="3" l="1"/>
  <c r="B52" i="4" l="1"/>
  <c r="B57" i="4"/>
  <c r="C30" i="3" l="1"/>
  <c r="C54" i="3" s="1"/>
  <c r="B60" i="4"/>
  <c r="C60" i="4"/>
  <c r="C52" i="4"/>
  <c r="B36" i="1"/>
  <c r="C36" i="1"/>
  <c r="F27" i="8" l="1"/>
  <c r="F20" i="8"/>
  <c r="F13" i="8"/>
  <c r="D27" i="8"/>
  <c r="D20" i="8"/>
  <c r="D13" i="8"/>
  <c r="F29" i="8" l="1"/>
  <c r="F34" i="8" s="1"/>
  <c r="E20" i="8"/>
  <c r="E27" i="8"/>
  <c r="G27" i="8"/>
  <c r="D29" i="8"/>
  <c r="D34" i="8" s="1"/>
  <c r="G13" i="8"/>
  <c r="G20" i="8"/>
  <c r="E13" i="8"/>
  <c r="C61" i="3" l="1"/>
  <c r="B61" i="3"/>
  <c r="C48" i="3"/>
  <c r="B48" i="3"/>
  <c r="C32" i="3"/>
  <c r="C56" i="3" s="1"/>
  <c r="B32" i="3"/>
  <c r="B56" i="3" s="1"/>
  <c r="C31" i="3"/>
  <c r="C55" i="3" s="1"/>
  <c r="B31" i="3"/>
  <c r="B55" i="3" s="1"/>
  <c r="C28" i="3"/>
  <c r="C52" i="3" s="1"/>
  <c r="B28" i="3"/>
  <c r="B52" i="3" s="1"/>
  <c r="C27" i="3"/>
  <c r="B27" i="3"/>
  <c r="C26" i="3"/>
  <c r="B26" i="3"/>
  <c r="C24" i="3"/>
  <c r="B24" i="3"/>
  <c r="B27" i="8"/>
  <c r="B20" i="8"/>
  <c r="B13" i="8"/>
  <c r="D20" i="5"/>
  <c r="C20" i="5"/>
  <c r="D19" i="5"/>
  <c r="C19" i="5"/>
  <c r="D12" i="5"/>
  <c r="D17" i="5" s="1"/>
  <c r="C12" i="5"/>
  <c r="C14" i="5" s="1"/>
  <c r="C49" i="4"/>
  <c r="C37" i="4"/>
  <c r="F57" i="2"/>
  <c r="F55" i="2"/>
  <c r="C51" i="2"/>
  <c r="B51" i="2"/>
  <c r="C35" i="2"/>
  <c r="C43" i="2" s="1"/>
  <c r="B35" i="2"/>
  <c r="B43" i="2" s="1"/>
  <c r="C27" i="2"/>
  <c r="B27" i="2"/>
  <c r="C20" i="2"/>
  <c r="B20" i="2"/>
  <c r="C28" i="1"/>
  <c r="C25" i="3" s="1"/>
  <c r="B28" i="1"/>
  <c r="B25" i="3" s="1"/>
  <c r="C21" i="1"/>
  <c r="C23" i="1" s="1"/>
  <c r="B21" i="1"/>
  <c r="B23" i="1" s="1"/>
  <c r="D21" i="5" l="1"/>
  <c r="C28" i="2"/>
  <c r="B67" i="3"/>
  <c r="E65" i="3"/>
  <c r="E69" i="3"/>
  <c r="E67" i="3"/>
  <c r="E68" i="3"/>
  <c r="C67" i="3"/>
  <c r="F67" i="3"/>
  <c r="F69" i="3"/>
  <c r="F65" i="3"/>
  <c r="F68" i="3"/>
  <c r="C57" i="3"/>
  <c r="C20" i="8"/>
  <c r="B68" i="3"/>
  <c r="B69" i="3"/>
  <c r="B30" i="1"/>
  <c r="B38" i="1" s="1"/>
  <c r="B41" i="1" s="1"/>
  <c r="C30" i="1"/>
  <c r="C38" i="1" s="1"/>
  <c r="C41" i="1" s="1"/>
  <c r="C21" i="5"/>
  <c r="D14" i="5"/>
  <c r="D22" i="5"/>
  <c r="B49" i="4"/>
  <c r="B37" i="4"/>
  <c r="B52" i="2"/>
  <c r="B28" i="2"/>
  <c r="C52" i="2"/>
  <c r="C65" i="3"/>
  <c r="C68" i="3"/>
  <c r="C69" i="3"/>
  <c r="B65" i="3"/>
  <c r="B57" i="3"/>
  <c r="C13" i="8"/>
  <c r="B29" i="8"/>
  <c r="B34" i="8" s="1"/>
  <c r="C27" i="8"/>
  <c r="C17" i="5"/>
  <c r="C22" i="5" s="1"/>
  <c r="B44" i="1" l="1"/>
  <c r="B45" i="1"/>
  <c r="B63" i="3" s="1"/>
  <c r="E70" i="3"/>
  <c r="F70" i="3"/>
  <c r="F59" i="2"/>
  <c r="B23" i="3"/>
  <c r="B50" i="3" s="1"/>
  <c r="B59" i="3" s="1"/>
  <c r="B71" i="3" s="1"/>
  <c r="B28" i="4"/>
  <c r="B83" i="3" s="1"/>
  <c r="B86" i="3" s="1"/>
  <c r="C45" i="1"/>
  <c r="C63" i="3" s="1"/>
  <c r="C28" i="4"/>
  <c r="C23" i="3"/>
  <c r="C50" i="3" s="1"/>
  <c r="C59" i="3" s="1"/>
  <c r="C71" i="3" s="1"/>
  <c r="C54" i="1" s="1"/>
  <c r="C44" i="1"/>
  <c r="C51" i="4" l="1"/>
  <c r="C54" i="4" s="1"/>
  <c r="C83" i="3"/>
  <c r="C86" i="3" s="1"/>
  <c r="B70" i="3"/>
  <c r="B34" i="3"/>
  <c r="B53" i="1" s="1"/>
  <c r="C70" i="3"/>
  <c r="C34" i="3"/>
  <c r="C53" i="1" s="1"/>
  <c r="B51" i="4"/>
  <c r="B54" i="4" s="1"/>
  <c r="B54" i="1"/>
</calcChain>
</file>

<file path=xl/sharedStrings.xml><?xml version="1.0" encoding="utf-8"?>
<sst xmlns="http://schemas.openxmlformats.org/spreadsheetml/2006/main" count="371" uniqueCount="217">
  <si>
    <t>Arch Coal, Inc. and Subsidiaries</t>
  </si>
  <si>
    <t>(In thousands, except per share data)</t>
  </si>
  <si>
    <t/>
  </si>
  <si>
    <t>(Unaudited)</t>
  </si>
  <si>
    <t>Revenues</t>
  </si>
  <si>
    <t>Costs, expenses and other operating</t>
  </si>
  <si>
    <t>Cost of sales</t>
  </si>
  <si>
    <t>Depreciation, depletion and amortization</t>
  </si>
  <si>
    <t>Change in fair value of coal derivatives and coal trading activities, net</t>
  </si>
  <si>
    <t>Selling, general and administrative expenses</t>
  </si>
  <si>
    <t>Interest expense, net</t>
  </si>
  <si>
    <t>Interest expense</t>
  </si>
  <si>
    <t>Interest and investment income</t>
  </si>
  <si>
    <t>Diluted weighted average shares outstanding</t>
  </si>
  <si>
    <t>Condensed Consolidated Balance Sheets</t>
  </si>
  <si>
    <t>(In thousands)</t>
  </si>
  <si>
    <t>Assets</t>
  </si>
  <si>
    <t>Current assets</t>
  </si>
  <si>
    <t>Cash and cash equivalents</t>
  </si>
  <si>
    <t>Short term investments</t>
  </si>
  <si>
    <t>Trade accounts receivable</t>
  </si>
  <si>
    <t>Other receivables</t>
  </si>
  <si>
    <t>Inventories</t>
  </si>
  <si>
    <t>Prepaid royalties</t>
  </si>
  <si>
    <t>Coal derivative assets</t>
  </si>
  <si>
    <t>Deferred income taxes</t>
  </si>
  <si>
    <t>Other current assets</t>
  </si>
  <si>
    <t>Total current assets</t>
  </si>
  <si>
    <t>Property, plant and equipment, net</t>
  </si>
  <si>
    <t>Other assets</t>
  </si>
  <si>
    <t>Equity investments</t>
  </si>
  <si>
    <t>Other noncurrent assets</t>
  </si>
  <si>
    <t>Total other assets</t>
  </si>
  <si>
    <t>Total assets</t>
  </si>
  <si>
    <t>Accounts payable</t>
  </si>
  <si>
    <t>Accrued expenses and other current liabilities</t>
  </si>
  <si>
    <t>Current maturities of debt</t>
  </si>
  <si>
    <t>Total current liabilities</t>
  </si>
  <si>
    <t>Long-term debt</t>
  </si>
  <si>
    <t>Asset retirement obligations</t>
  </si>
  <si>
    <t>Accrued pension benefits</t>
  </si>
  <si>
    <t>Accrued postretirement benefits other than pension</t>
  </si>
  <si>
    <t>Accrued workers’ compensation</t>
  </si>
  <si>
    <t>Other noncurrent liabilities</t>
  </si>
  <si>
    <t>Common Stock</t>
  </si>
  <si>
    <t>Paid-in capital</t>
  </si>
  <si>
    <t>Reconciliation of Non-GAAP Measures</t>
  </si>
  <si>
    <t>Included in the accompanying release, we have disclosed certain non-GAAP measures as defined by Regulation G.</t>
  </si>
  <si>
    <t>Tax impact of adjustments</t>
  </si>
  <si>
    <t>Other</t>
  </si>
  <si>
    <t>Dividends paid</t>
  </si>
  <si>
    <t>Debt financing costs</t>
  </si>
  <si>
    <t>Net payments on other debt</t>
  </si>
  <si>
    <t>Financing activities</t>
  </si>
  <si>
    <t>Investments in and advances to affiliates, net</t>
  </si>
  <si>
    <t>Proceeds from sales of short term investments</t>
  </si>
  <si>
    <t>Purchases of short term investments</t>
  </si>
  <si>
    <t>Capital expenditures</t>
  </si>
  <si>
    <t>Investing activities</t>
  </si>
  <si>
    <t>Accounts payable, accrued expenses and other current liabilities</t>
  </si>
  <si>
    <t>Receivables</t>
  </si>
  <si>
    <t>Changes in:</t>
  </si>
  <si>
    <t>Amortization relating to financing activities</t>
  </si>
  <si>
    <t>Gains on disposals and divestitures</t>
  </si>
  <si>
    <t>Employee stock-based compensation expense</t>
  </si>
  <si>
    <t>Prepaid royalties expensed</t>
  </si>
  <si>
    <t>Operating activities</t>
  </si>
  <si>
    <t>Condensed Consolidated Statements of Cash Flows</t>
  </si>
  <si>
    <t xml:space="preserve">December 31, </t>
  </si>
  <si>
    <t>Schedule of Consolidated Debt</t>
  </si>
  <si>
    <t>December 31,</t>
  </si>
  <si>
    <t>Less: current maturities of debt</t>
  </si>
  <si>
    <t>Calculation of net debt</t>
  </si>
  <si>
    <t>Less liquid assets:</t>
  </si>
  <si>
    <t>Net debt</t>
  </si>
  <si>
    <t>Tax impact of adjustment</t>
  </si>
  <si>
    <t>Net loss resulting from early retirement of debt and debt restructuring</t>
  </si>
  <si>
    <t>Reorganization items, net</t>
  </si>
  <si>
    <t>Debt issuance costs</t>
  </si>
  <si>
    <t>Total debt (excluding debt issuance costs)</t>
  </si>
  <si>
    <t xml:space="preserve">  Current liabilities</t>
  </si>
  <si>
    <t xml:space="preserve">Total liabilities </t>
  </si>
  <si>
    <t>Minimum royalty payments</t>
  </si>
  <si>
    <t>Accretion on asset retirement obligations</t>
  </si>
  <si>
    <t>Basic weighted average shares outstanding</t>
  </si>
  <si>
    <t>Amortization of sales contracts, net</t>
  </si>
  <si>
    <t xml:space="preserve">considered in isolation, nor as an alternative to net income, income from operations, cash flows from operations or as a measure of our profitability, </t>
  </si>
  <si>
    <t>Operational Performance</t>
  </si>
  <si>
    <t>(In millions, except per ton data)</t>
  </si>
  <si>
    <t>Powder River Basin</t>
  </si>
  <si>
    <t>Tons Sold</t>
  </si>
  <si>
    <t>Segment Sales</t>
  </si>
  <si>
    <t>Segment Cash Cost of Sales</t>
  </si>
  <si>
    <t>Segment Cash Margin</t>
  </si>
  <si>
    <t>Metallurgical</t>
  </si>
  <si>
    <t>Other Thermal</t>
  </si>
  <si>
    <t>Total Segment Cash Margin</t>
  </si>
  <si>
    <t xml:space="preserve">Stockholders' equity </t>
  </si>
  <si>
    <t xml:space="preserve">Liabilities and Stockholders' Equity </t>
  </si>
  <si>
    <t>Income taxes, net</t>
  </si>
  <si>
    <t>Other operating income, net</t>
  </si>
  <si>
    <t>Payments to extinguish term loan due 2021</t>
  </si>
  <si>
    <t>Proceeds from issuance of term loan due 2024</t>
  </si>
  <si>
    <t xml:space="preserve">Accumulated other comprehensive income </t>
  </si>
  <si>
    <t xml:space="preserve">Total stockholders’ equity </t>
  </si>
  <si>
    <t xml:space="preserve">Total liabilities and stockholders’ equity </t>
  </si>
  <si>
    <t xml:space="preserve">performance of its segments and allocate resources to the segments.  Furthermore, analogous measures are used by industry analysts and investors </t>
  </si>
  <si>
    <t>Retained earnings</t>
  </si>
  <si>
    <t>Treasury stock, at cost</t>
  </si>
  <si>
    <t>Purchases of treasury stock</t>
  </si>
  <si>
    <t>Weighted average shares outstanding</t>
  </si>
  <si>
    <t>Dividends declared per common share</t>
  </si>
  <si>
    <t>Beg RE</t>
  </si>
  <si>
    <t>CY Net Income</t>
  </si>
  <si>
    <t xml:space="preserve">Dividends </t>
  </si>
  <si>
    <t>Dividends accrued (RSU's)</t>
  </si>
  <si>
    <t>indicative of the Company's core operating performance.</t>
  </si>
  <si>
    <t xml:space="preserve">transactions that are not indicative of the Company's core operating performance. The adjustments made to arrive at these measures are </t>
  </si>
  <si>
    <t>accepted accounting principles.</t>
  </si>
  <si>
    <t xml:space="preserve">Net income </t>
  </si>
  <si>
    <t>Net income per common share</t>
  </si>
  <si>
    <t xml:space="preserve">Basic EPS </t>
  </si>
  <si>
    <t xml:space="preserve">Diluted EPS </t>
  </si>
  <si>
    <t>Adjusted diluted income per common share (A)</t>
  </si>
  <si>
    <t xml:space="preserve">Diluted income per share </t>
  </si>
  <si>
    <t>Adjusted diluted income per share</t>
  </si>
  <si>
    <t>Income before income taxes</t>
  </si>
  <si>
    <t>Reconciliation of NON-GAAP Measures</t>
  </si>
  <si>
    <t>Idle and Other</t>
  </si>
  <si>
    <t>Consolidated</t>
  </si>
  <si>
    <t>GAAP Revenues in the consolidated statements of operations</t>
  </si>
  <si>
    <t>Less:  Adjustments to reconcile to Non-GAAP Segment coal sales revenue</t>
  </si>
  <si>
    <t>Coal risk management derivative settlements classified in "other income"</t>
  </si>
  <si>
    <t>Coal sales revenues from idled or otherwise disposed operations not included in segments</t>
  </si>
  <si>
    <t>Transportation costs</t>
  </si>
  <si>
    <t>Non-GAAP Segment coal sales revenues</t>
  </si>
  <si>
    <t>Tons sold</t>
  </si>
  <si>
    <t>Coal sales per ton sold</t>
  </si>
  <si>
    <t xml:space="preserve">transportation costs, and may be adjusted for other items that, due to generally accepted accounting principles, are classified in “other income” on the statement of </t>
  </si>
  <si>
    <t>GAAP Cost of sales in the consolidated statements of operations</t>
  </si>
  <si>
    <t xml:space="preserve">Less:  Adjustments to reconcile to Non-GAAP Segment cash cost of coal sales </t>
  </si>
  <si>
    <t>Diesel fuel risk management derivative settlements classified in "other income"</t>
  </si>
  <si>
    <t>Cost of coal sales from idled or otherwise disposed operations not included in segments</t>
  </si>
  <si>
    <t>Other (operating overhead, certain actuarial, etc.)</t>
  </si>
  <si>
    <t>Non-GAAP Segment cash cost of coal sales</t>
  </si>
  <si>
    <t>Cash cost per ton sold</t>
  </si>
  <si>
    <t>Free Cash Flow</t>
  </si>
  <si>
    <t>Cash used for capital expenditures</t>
  </si>
  <si>
    <t>Free cash flow is defined as cash provided by (used in) operating activities less cash used for capital expenditures.  Free cash flow is used by</t>
  </si>
  <si>
    <t>management as a measure of the Company's ability to generate excess cash flow from our core business operations.  Free cash flow should</t>
  </si>
  <si>
    <t>not be considered in isolation or as an alternative to similar measures under generally accepted accounting principles.</t>
  </si>
  <si>
    <t>Free cash flow</t>
  </si>
  <si>
    <t>The following reconciles these items to the most directly comparable GAAP measure.</t>
  </si>
  <si>
    <t xml:space="preserve">Non-GAAP Segment coal sales per ton sold   </t>
  </si>
  <si>
    <t xml:space="preserve">Non-GAAP Segment coal sales per ton sold is calculated as segment coal sales revenues divided by segment tons sold. Segment coal sales revenues are adjusted for </t>
  </si>
  <si>
    <t xml:space="preserve">accepted accounting principles. We believe segment coal sales per ton sold provides useful information to investors as it better reflects our revenue for the quality of coal </t>
  </si>
  <si>
    <t>sold and our operating results by including all income from coal sales. The adjustments made to arrive at these measures are significant in understanding and assessing</t>
  </si>
  <si>
    <t xml:space="preserve"> our financial condition. Therefore, segment coal sales revenues should not be considered in isolation, nor as an alternative to coal sales revenues under generally </t>
  </si>
  <si>
    <t xml:space="preserve">operations, but relate to price protection on the sale of coal. Segment coal sales per ton sold is not a measure of financial performance in accordance with generally </t>
  </si>
  <si>
    <t>Non-GAAP Segment cash cost per ton sold</t>
  </si>
  <si>
    <t xml:space="preserve">Non-GAAP Segment cash cost per ton sold is calculated as segment cash cost of coal sales divided by segment tons sold. Segment cash cost of coal sales is </t>
  </si>
  <si>
    <t xml:space="preserve">adjusted for transportation costs, and may be adjusted for other items that, due to generally accepted accounting principles, are classified in “other income” on the </t>
  </si>
  <si>
    <t xml:space="preserve">statement of operations, but relate directly to the costs incurred to produce coal. Segment cash cost per ton sold is not a measure of financial performance in accordance </t>
  </si>
  <si>
    <t xml:space="preserve">costs incurred to produce coal. The adjustments made to arrive at these measures are significant in understanding and assessing our financial condition. Therefore, </t>
  </si>
  <si>
    <t>segment cash cost of coal sales should not be considered in isolation, nor as an alternative to cost of sales under generally accepted accounting principles.</t>
  </si>
  <si>
    <t>Restricted cash</t>
  </si>
  <si>
    <t>Income from operations</t>
  </si>
  <si>
    <t>Income before nonoperating expenses</t>
  </si>
  <si>
    <t>Cash provided by operating activities</t>
  </si>
  <si>
    <t>Payments on term loan due 2024</t>
  </si>
  <si>
    <t>Cash used in financing activities</t>
  </si>
  <si>
    <t xml:space="preserve">Adjusted net income </t>
  </si>
  <si>
    <t>Nonoperating expenses</t>
  </si>
  <si>
    <t>Adjusted net income and adjusted diluted income per share</t>
  </si>
  <si>
    <t>Adjusted net income and adjusted diluted income per common share are adjusted for the after-tax impact of reorganization items, net</t>
  </si>
  <si>
    <t>and are not measures of financial performance in accordance with generally accepted accounting principles.  Adjusted net income and</t>
  </si>
  <si>
    <t>adjusted diluted income per common share may also be adjusted for items that may not reflect the trend of future results.  We believe that</t>
  </si>
  <si>
    <t xml:space="preserve">adjusted net income and adjusted diluted income per common share better reflect the trend of our future results by excluding </t>
  </si>
  <si>
    <t>significant in understanding and assessing our financial condition.  Therefore, adjusted net income and adjusted diluted income per</t>
  </si>
  <si>
    <t xml:space="preserve">share should not be considered in isolation, nor as an alternative to net income or diluted income per common share under generally </t>
  </si>
  <si>
    <t>Condensed Consolidated Income Statements</t>
  </si>
  <si>
    <t>Non-service related pension and postretirement benefit costs</t>
  </si>
  <si>
    <t>Cash and cash equivalents, including restricted cash, beginning of period</t>
  </si>
  <si>
    <t>Cash and cash equivalents, including restricted cash, end of period</t>
  </si>
  <si>
    <t>Adjusted EBITDA (A) (Unaudited)</t>
  </si>
  <si>
    <t>(A) Adjusted EBITDA and Adjusted diluted income per common share are defined and reconciled under "Reconciliation of Non-GAAP Measures" later in this release.</t>
  </si>
  <si>
    <t>Adjusted EBITDA</t>
  </si>
  <si>
    <t xml:space="preserve">Adjusted EBITDA is defined as net income attributable to the Company before the effect of net interest expense, income taxes, depreciation, </t>
  </si>
  <si>
    <t>depletion and amortization, accretion on asset retirement obligations, amortization of sales contracts and nonoperating expenses.</t>
  </si>
  <si>
    <t>Adjusted EBITDA may also be adjusted for items that may not reflect the trend of future results by excluding transactions that are not</t>
  </si>
  <si>
    <t>Adjusted EBITDA is not a measure of financial performance in accordance with generally accepted accounting principles, and items excluded</t>
  </si>
  <si>
    <t xml:space="preserve">from Adjusted EBITDA are significant in understanding and assessing our financial condition. Therefore, Adjusted EBITDA should not be </t>
  </si>
  <si>
    <t xml:space="preserve">liquidity or performance under generally accepted accounting principles.  The Company uses adjusted EBITDA to measure the operating </t>
  </si>
  <si>
    <t>to evaluate our operating performance. Investors should be aware that our presentation of Adjusted EBITDA may not be comparable to similarly titled</t>
  </si>
  <si>
    <t>measures used by other companies. The table below shows how we calculate Adjusted EBITDA.</t>
  </si>
  <si>
    <t>Adjustments to reconcile to cash provided by operating activities:</t>
  </si>
  <si>
    <t>Proceeds from disposals and divestitures</t>
  </si>
  <si>
    <t>Quarter ended June 30, 2018</t>
  </si>
  <si>
    <t>Three Months  Ended           June 30, 2018</t>
  </si>
  <si>
    <t>Cash used in investing activities</t>
  </si>
  <si>
    <t>Decrease in cash and cash equivalents, including restricted cash</t>
  </si>
  <si>
    <t xml:space="preserve">Three Months </t>
  </si>
  <si>
    <t>Ended June 30, 2018</t>
  </si>
  <si>
    <t xml:space="preserve">Three Months Ended September 30, </t>
  </si>
  <si>
    <t xml:space="preserve">Nine Months Ended September 30, </t>
  </si>
  <si>
    <t xml:space="preserve">September 30, </t>
  </si>
  <si>
    <t>Three Months  Ended           September 30, 2018</t>
  </si>
  <si>
    <t>Three Months  Ended           September 30, 2017</t>
  </si>
  <si>
    <t>Quarter ended September 30, 2018</t>
  </si>
  <si>
    <t>Quarter ended September 30, 2017</t>
  </si>
  <si>
    <t>Gain on sale of Lone Mountain Processing, Inc.</t>
  </si>
  <si>
    <t>6/30/2018 YTD</t>
  </si>
  <si>
    <t xml:space="preserve">Six Months </t>
  </si>
  <si>
    <t>Ended September 30, 2018</t>
  </si>
  <si>
    <t>Benefit from income taxes</t>
  </si>
  <si>
    <t>Term loan due 2024 ($295.5 million face value)</t>
  </si>
  <si>
    <t xml:space="preserve">with generally accepted accounting principles. We believe segment cash cost per ton sold better reflects our controllable costs and our operating results by including all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</si>
</sst>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_);_(&quot;$&quot;* \(#,##0\);_(&quot;$&quot;* &quot;—&quot;_);_(@_)"/>
    <numFmt numFmtId="166" formatCode="_(* #,##0_);_(* \(#,##0\);_(* &quot;-&quot;??_);_(@_)"/>
    <numFmt numFmtId="167" formatCode="_(#,##0_);_(\(#,##0\);_(&quot;—&quot;_);_(@_)"/>
    <numFmt numFmtId="168" formatCode="_(&quot;$&quot;* #,##0.00_)_%;_(&quot;$&quot;* \(#,##0.00\)_%;_(&quot;$&quot;* &quot;—&quot;_);_(@_)"/>
    <numFmt numFmtId="169" formatCode="_(&quot;$&quot;* #,##0_)_%;_(&quot;$&quot;* \(#,##0\)_%;_(&quot;$&quot;* &quot;—&quot;_);_(@_)"/>
    <numFmt numFmtId="170" formatCode="#,##0_)%;\(#,##0\)%;&quot;—&quot;\%;_(@_)"/>
    <numFmt numFmtId="171" formatCode="_(#,##0_)_%;_(\(#,##0\)_%;_(&quot;—&quot;_);_(@_)"/>
    <numFmt numFmtId="172" formatCode="_(#,##0.00_);_(\(#,##0.00\);_(&quot;—&quot;_);_(@_)"/>
    <numFmt numFmtId="173" formatCode="_(* #,##0.0_);_(* \(#,##0.0\);_(* &quot;-&quot;??_);_(@_)"/>
    <numFmt numFmtId="174" formatCode="_(&quot;$&quot;* #,##0.0_);_(&quot;$&quot;* \(#,##0.0\);_(&quot;$&quot;* &quot;-&quot;??_);_(@_)"/>
    <numFmt numFmtId="175" formatCode="#,##0.00;\(#,##0.00\)"/>
  </numFmts>
  <fonts count="27" x14ac:knownFonts="1">
    <font>
      <sz val="10"/>
      <color rgb="FF00000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43" fontId="1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8" fillId="0" borderId="0" applyFont="0" applyFill="0" applyBorder="0" applyAlignment="0" applyProtection="0"/>
    <xf numFmtId="175" fontId="19" fillId="0" borderId="0"/>
    <xf numFmtId="0" fontId="3" fillId="0" borderId="0"/>
    <xf numFmtId="0" fontId="18" fillId="0" borderId="0"/>
    <xf numFmtId="9" fontId="18" fillId="0" borderId="0" applyFont="0" applyFill="0" applyBorder="0" applyAlignment="0" applyProtection="0"/>
    <xf numFmtId="0" fontId="2" fillId="0" borderId="0"/>
    <xf numFmtId="0" fontId="21" fillId="0" borderId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2" fillId="0" borderId="0"/>
    <xf numFmtId="0" fontId="2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23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5" fontId="1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</cellStyleXfs>
  <cellXfs count="326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wrapText="1" indent="1"/>
    </xf>
    <xf numFmtId="167" fontId="7" fillId="0" borderId="0" xfId="0" applyNumberFormat="1" applyFont="1" applyAlignment="1"/>
    <xf numFmtId="0" fontId="0" fillId="0" borderId="0" xfId="0" applyAlignment="1">
      <alignment horizontal="left"/>
    </xf>
    <xf numFmtId="0" fontId="7" fillId="0" borderId="0" xfId="0" applyFont="1" applyAlignment="1">
      <alignment wrapText="1" indent="2"/>
    </xf>
    <xf numFmtId="0" fontId="7" fillId="0" borderId="0" xfId="0" applyFont="1" applyAlignment="1">
      <alignment wrapText="1"/>
    </xf>
    <xf numFmtId="167" fontId="7" fillId="0" borderId="0" xfId="0" applyNumberFormat="1" applyFont="1" applyAlignment="1">
      <alignment horizontal="left"/>
    </xf>
    <xf numFmtId="168" fontId="7" fillId="0" borderId="0" xfId="0" applyNumberFormat="1" applyFont="1" applyAlignment="1"/>
    <xf numFmtId="169" fontId="7" fillId="0" borderId="0" xfId="0" applyNumberFormat="1" applyFont="1" applyAlignment="1"/>
    <xf numFmtId="0" fontId="8" fillId="0" borderId="1" xfId="0" applyFont="1" applyBorder="1" applyAlignment="1">
      <alignment horizontal="center" wrapText="1"/>
    </xf>
    <xf numFmtId="0" fontId="8" fillId="0" borderId="0" xfId="0" applyFont="1" applyAlignment="1">
      <alignment horizontal="left" wrapText="1"/>
    </xf>
    <xf numFmtId="171" fontId="7" fillId="0" borderId="0" xfId="0" applyNumberFormat="1" applyFont="1" applyAlignment="1"/>
    <xf numFmtId="171" fontId="7" fillId="0" borderId="0" xfId="0" applyNumberFormat="1" applyFont="1" applyAlignment="1">
      <alignment horizontal="left"/>
    </xf>
    <xf numFmtId="171" fontId="0" fillId="0" borderId="0" xfId="0" applyNumberFormat="1" applyAlignment="1">
      <alignment horizontal="left"/>
    </xf>
    <xf numFmtId="172" fontId="7" fillId="0" borderId="0" xfId="0" applyNumberFormat="1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Fill="1" applyAlignment="1"/>
    <xf numFmtId="0" fontId="7" fillId="0" borderId="0" xfId="0" applyFont="1" applyFill="1" applyAlignment="1">
      <alignment horizontal="left"/>
    </xf>
    <xf numFmtId="0" fontId="7" fillId="0" borderId="0" xfId="0" applyFont="1" applyAlignment="1">
      <alignment wrapText="1" indent="3"/>
    </xf>
    <xf numFmtId="167" fontId="7" fillId="0" borderId="0" xfId="0" applyNumberFormat="1" applyFont="1" applyFill="1" applyBorder="1" applyAlignment="1"/>
    <xf numFmtId="167" fontId="7" fillId="0" borderId="0" xfId="0" applyNumberFormat="1" applyFont="1" applyFill="1" applyAlignment="1">
      <alignment horizontal="left"/>
    </xf>
    <xf numFmtId="0" fontId="0" fillId="0" borderId="0" xfId="0" applyAlignment="1">
      <alignment wrapText="1"/>
    </xf>
    <xf numFmtId="0" fontId="13" fillId="0" borderId="0" xfId="0" applyFont="1" applyAlignment="1">
      <alignment wrapText="1" inden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5" fillId="0" borderId="0" xfId="0" applyFont="1" applyAlignment="1">
      <alignment horizontal="left"/>
    </xf>
    <xf numFmtId="0" fontId="16" fillId="0" borderId="1" xfId="0" applyFont="1" applyBorder="1" applyAlignment="1">
      <alignment horizontal="center" wrapText="1"/>
    </xf>
    <xf numFmtId="0" fontId="15" fillId="0" borderId="0" xfId="0" applyFont="1" applyAlignment="1">
      <alignment wrapText="1"/>
    </xf>
    <xf numFmtId="166" fontId="0" fillId="0" borderId="0" xfId="0" applyNumberFormat="1" applyAlignment="1">
      <alignment wrapText="1"/>
    </xf>
    <xf numFmtId="0" fontId="15" fillId="0" borderId="0" xfId="0" applyFont="1" applyFill="1" applyAlignment="1">
      <alignment horizontal="left"/>
    </xf>
    <xf numFmtId="165" fontId="15" fillId="0" borderId="0" xfId="0" applyNumberFormat="1" applyFont="1" applyFill="1" applyAlignment="1"/>
    <xf numFmtId="167" fontId="15" fillId="0" borderId="0" xfId="0" applyNumberFormat="1" applyFont="1" applyFill="1" applyAlignment="1"/>
    <xf numFmtId="0" fontId="0" fillId="0" borderId="0" xfId="0" applyFill="1" applyAlignment="1">
      <alignment wrapText="1"/>
    </xf>
    <xf numFmtId="167" fontId="15" fillId="0" borderId="1" xfId="0" applyNumberFormat="1" applyFont="1" applyFill="1" applyBorder="1" applyAlignment="1"/>
    <xf numFmtId="165" fontId="15" fillId="0" borderId="6" xfId="0" applyNumberFormat="1" applyFont="1" applyFill="1" applyBorder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71" fontId="7" fillId="0" borderId="0" xfId="0" applyNumberFormat="1" applyFont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wrapText="1" indent="1"/>
    </xf>
    <xf numFmtId="166" fontId="7" fillId="0" borderId="1" xfId="1" applyNumberFormat="1" applyFont="1" applyFill="1" applyBorder="1" applyAlignment="1">
      <alignment horizontal="right"/>
    </xf>
    <xf numFmtId="0" fontId="0" fillId="0" borderId="0" xfId="0" applyFill="1" applyAlignment="1">
      <alignment horizontal="left"/>
    </xf>
    <xf numFmtId="166" fontId="7" fillId="0" borderId="2" xfId="1" applyNumberFormat="1" applyFont="1" applyFill="1" applyBorder="1" applyAlignment="1">
      <alignment horizontal="right"/>
    </xf>
    <xf numFmtId="0" fontId="7" fillId="0" borderId="0" xfId="0" applyFont="1" applyFill="1" applyAlignment="1">
      <alignment wrapText="1" indent="2"/>
    </xf>
    <xf numFmtId="0" fontId="10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166" fontId="7" fillId="0" borderId="0" xfId="1" applyNumberFormat="1" applyFont="1" applyFill="1" applyBorder="1" applyAlignment="1">
      <alignment horizontal="right"/>
    </xf>
    <xf numFmtId="0" fontId="10" fillId="0" borderId="0" xfId="0" applyFont="1" applyFill="1" applyAlignment="1">
      <alignment wrapText="1" indent="2"/>
    </xf>
    <xf numFmtId="164" fontId="7" fillId="0" borderId="4" xfId="2" applyNumberFormat="1" applyFont="1" applyFill="1" applyBorder="1" applyAlignment="1">
      <alignment horizontal="right"/>
    </xf>
    <xf numFmtId="165" fontId="7" fillId="0" borderId="4" xfId="0" applyNumberFormat="1" applyFont="1" applyFill="1" applyBorder="1" applyAlignment="1"/>
    <xf numFmtId="0" fontId="7" fillId="0" borderId="0" xfId="0" applyFont="1" applyFill="1" applyAlignment="1">
      <alignment horizontal="left"/>
    </xf>
    <xf numFmtId="170" fontId="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164" fontId="7" fillId="0" borderId="0" xfId="2" applyNumberFormat="1" applyFont="1" applyFill="1" applyAlignment="1"/>
    <xf numFmtId="166" fontId="7" fillId="0" borderId="0" xfId="1" applyNumberFormat="1" applyFont="1" applyFill="1" applyAlignment="1">
      <alignment horizontal="left"/>
    </xf>
    <xf numFmtId="166" fontId="7" fillId="0" borderId="0" xfId="1" applyNumberFormat="1" applyFont="1" applyFill="1" applyAlignment="1"/>
    <xf numFmtId="167" fontId="7" fillId="0" borderId="1" xfId="0" applyNumberFormat="1" applyFont="1" applyFill="1" applyBorder="1" applyAlignment="1"/>
    <xf numFmtId="166" fontId="7" fillId="0" borderId="1" xfId="1" applyNumberFormat="1" applyFont="1" applyFill="1" applyBorder="1" applyAlignment="1"/>
    <xf numFmtId="164" fontId="7" fillId="0" borderId="4" xfId="2" applyNumberFormat="1" applyFont="1" applyFill="1" applyBorder="1" applyAlignment="1"/>
    <xf numFmtId="166" fontId="7" fillId="0" borderId="2" xfId="1" applyNumberFormat="1" applyFont="1" applyFill="1" applyBorder="1" applyAlignment="1"/>
    <xf numFmtId="167" fontId="7" fillId="0" borderId="3" xfId="0" applyNumberFormat="1" applyFont="1" applyFill="1" applyBorder="1" applyAlignment="1"/>
    <xf numFmtId="0" fontId="0" fillId="0" borderId="0" xfId="0" applyFill="1" applyAlignment="1"/>
    <xf numFmtId="44" fontId="7" fillId="0" borderId="0" xfId="2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5" fontId="7" fillId="0" borderId="0" xfId="0" applyNumberFormat="1" applyFont="1" applyFill="1" applyAlignment="1">
      <alignment horizontal="left"/>
    </xf>
    <xf numFmtId="43" fontId="7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71" fontId="7" fillId="0" borderId="0" xfId="0" applyNumberFormat="1" applyFont="1" applyAlignment="1"/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7" fontId="15" fillId="0" borderId="0" xfId="0" applyNumberFormat="1" applyFont="1" applyFill="1" applyBorder="1" applyAlignment="1"/>
    <xf numFmtId="166" fontId="7" fillId="0" borderId="0" xfId="0" applyNumberFormat="1" applyFont="1" applyAlignment="1">
      <alignment horizontal="left"/>
    </xf>
    <xf numFmtId="43" fontId="0" fillId="0" borderId="0" xfId="1" applyFont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43" fontId="4" fillId="0" borderId="0" xfId="1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166" fontId="7" fillId="0" borderId="0" xfId="1" applyNumberFormat="1" applyFont="1" applyFill="1" applyBorder="1" applyAlignment="1"/>
    <xf numFmtId="164" fontId="0" fillId="0" borderId="0" xfId="2" applyNumberFormat="1" applyFont="1" applyFill="1" applyAlignment="1">
      <alignment horizontal="left"/>
    </xf>
    <xf numFmtId="43" fontId="0" fillId="0" borderId="0" xfId="1" applyFont="1" applyFill="1" applyAlignment="1">
      <alignment wrapText="1"/>
    </xf>
    <xf numFmtId="166" fontId="0" fillId="0" borderId="0" xfId="1" applyNumberFormat="1" applyFont="1" applyFill="1" applyAlignment="1">
      <alignment horizontal="left"/>
    </xf>
    <xf numFmtId="166" fontId="0" fillId="0" borderId="0" xfId="1" applyNumberFormat="1" applyFont="1" applyFill="1" applyAlignment="1">
      <alignment wrapText="1"/>
    </xf>
    <xf numFmtId="44" fontId="0" fillId="0" borderId="0" xfId="2" applyFont="1" applyFill="1" applyAlignment="1">
      <alignment wrapText="1"/>
    </xf>
    <xf numFmtId="166" fontId="0" fillId="0" borderId="0" xfId="1" applyNumberFormat="1" applyFont="1" applyAlignment="1">
      <alignment wrapText="1"/>
    </xf>
    <xf numFmtId="171" fontId="7" fillId="0" borderId="0" xfId="0" applyNumberFormat="1" applyFont="1" applyFill="1" applyAlignment="1"/>
    <xf numFmtId="171" fontId="7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left"/>
    </xf>
    <xf numFmtId="172" fontId="7" fillId="0" borderId="0" xfId="0" applyNumberFormat="1" applyFont="1" applyFill="1" applyAlignment="1">
      <alignment horizontal="left"/>
    </xf>
    <xf numFmtId="172" fontId="0" fillId="0" borderId="0" xfId="0" applyNumberFormat="1" applyFill="1" applyAlignment="1">
      <alignment horizontal="left"/>
    </xf>
    <xf numFmtId="172" fontId="7" fillId="0" borderId="0" xfId="0" applyNumberFormat="1" applyFont="1" applyFill="1" applyBorder="1" applyAlignment="1">
      <alignment horizontal="left"/>
    </xf>
    <xf numFmtId="172" fontId="0" fillId="0" borderId="0" xfId="0" applyNumberFormat="1" applyFill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66" fontId="7" fillId="0" borderId="4" xfId="1" applyNumberFormat="1" applyFont="1" applyFill="1" applyBorder="1" applyAlignment="1">
      <alignment horizontal="center"/>
    </xf>
    <xf numFmtId="0" fontId="10" fillId="0" borderId="0" xfId="0" quotePrefix="1" applyFont="1" applyAlignment="1">
      <alignment wrapText="1"/>
    </xf>
    <xf numFmtId="0" fontId="7" fillId="0" borderId="0" xfId="0" applyFont="1" applyAlignment="1"/>
    <xf numFmtId="0" fontId="12" fillId="0" borderId="0" xfId="0" applyFont="1" applyBorder="1" applyAlignment="1">
      <alignment horizontal="center"/>
    </xf>
    <xf numFmtId="0" fontId="15" fillId="0" borderId="0" xfId="0" applyFont="1" applyFill="1" applyAlignment="1"/>
    <xf numFmtId="0" fontId="16" fillId="0" borderId="0" xfId="0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7" fillId="0" borderId="0" xfId="0" applyFont="1" applyFill="1" applyAlignment="1">
      <alignment horizontal="center"/>
    </xf>
    <xf numFmtId="44" fontId="7" fillId="0" borderId="0" xfId="2" applyNumberFormat="1" applyFont="1" applyFill="1" applyAlignment="1">
      <alignment horizontal="center"/>
    </xf>
    <xf numFmtId="44" fontId="0" fillId="0" borderId="0" xfId="2" applyNumberFormat="1" applyFont="1" applyFill="1" applyAlignment="1">
      <alignment horizontal="center" wrapText="1"/>
    </xf>
    <xf numFmtId="43" fontId="7" fillId="0" borderId="0" xfId="1" applyFont="1" applyFill="1" applyAlignment="1">
      <alignment horizontal="center"/>
    </xf>
    <xf numFmtId="0" fontId="7" fillId="0" borderId="0" xfId="0" applyFont="1" applyFill="1" applyAlignment="1">
      <alignment wrapText="1"/>
    </xf>
    <xf numFmtId="0" fontId="0" fillId="0" borderId="0" xfId="0" applyAlignment="1">
      <alignment wrapText="1"/>
    </xf>
    <xf numFmtId="166" fontId="7" fillId="0" borderId="0" xfId="1" applyNumberFormat="1" applyFont="1" applyFill="1" applyBorder="1" applyAlignment="1">
      <alignment horizontal="left"/>
    </xf>
    <xf numFmtId="44" fontId="7" fillId="0" borderId="6" xfId="2" applyFont="1" applyFill="1" applyBorder="1" applyAlignment="1">
      <alignment horizontal="center"/>
    </xf>
    <xf numFmtId="43" fontId="0" fillId="0" borderId="0" xfId="0" applyNumberFormat="1" applyAlignment="1">
      <alignment wrapText="1"/>
    </xf>
    <xf numFmtId="0" fontId="0" fillId="0" borderId="0" xfId="0" applyFill="1" applyAlignment="1"/>
    <xf numFmtId="0" fontId="7" fillId="0" borderId="0" xfId="0" applyFont="1" applyFill="1" applyAlignment="1">
      <alignment horizontal="left" wrapText="1" indent="2"/>
    </xf>
    <xf numFmtId="0" fontId="9" fillId="0" borderId="0" xfId="0" applyFont="1" applyBorder="1" applyAlignment="1">
      <alignment horizontal="center" wrapText="1"/>
    </xf>
    <xf numFmtId="164" fontId="7" fillId="0" borderId="0" xfId="2" applyNumberFormat="1" applyFont="1" applyFill="1" applyBorder="1" applyAlignment="1"/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/>
    <xf numFmtId="0" fontId="8" fillId="0" borderId="1" xfId="0" applyFont="1" applyBorder="1" applyAlignment="1">
      <alignment horizontal="center" wrapText="1"/>
    </xf>
    <xf numFmtId="164" fontId="7" fillId="0" borderId="0" xfId="2" applyNumberFormat="1" applyFont="1" applyFill="1" applyBorder="1" applyAlignment="1">
      <alignment horizontal="left"/>
    </xf>
    <xf numFmtId="0" fontId="0" fillId="0" borderId="0" xfId="0" applyBorder="1" applyAlignment="1">
      <alignment horizontal="left" wrapText="1"/>
    </xf>
    <xf numFmtId="164" fontId="15" fillId="0" borderId="0" xfId="2" applyNumberFormat="1" applyFont="1" applyFill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quotePrefix="1" applyFont="1" applyBorder="1" applyAlignment="1">
      <alignment horizontal="center" wrapText="1"/>
    </xf>
    <xf numFmtId="165" fontId="7" fillId="0" borderId="0" xfId="0" applyNumberFormat="1" applyFont="1" applyFill="1" applyBorder="1" applyAlignment="1"/>
    <xf numFmtId="166" fontId="7" fillId="0" borderId="3" xfId="1" applyNumberFormat="1" applyFont="1" applyFill="1" applyBorder="1" applyAlignment="1"/>
    <xf numFmtId="0" fontId="17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/>
    </xf>
    <xf numFmtId="164" fontId="15" fillId="0" borderId="0" xfId="2" applyNumberFormat="1" applyFont="1" applyFill="1" applyBorder="1" applyAlignment="1">
      <alignment horizontal="left"/>
    </xf>
    <xf numFmtId="166" fontId="15" fillId="0" borderId="0" xfId="1" applyNumberFormat="1" applyFont="1" applyFill="1" applyBorder="1" applyAlignment="1"/>
    <xf numFmtId="166" fontId="15" fillId="0" borderId="1" xfId="1" applyNumberFormat="1" applyFont="1" applyFill="1" applyBorder="1" applyAlignment="1"/>
    <xf numFmtId="165" fontId="15" fillId="0" borderId="0" xfId="0" applyNumberFormat="1" applyFont="1" applyFill="1" applyBorder="1" applyAlignment="1"/>
    <xf numFmtId="167" fontId="15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5" fillId="0" borderId="0" xfId="0" applyFont="1" applyAlignment="1">
      <alignment horizontal="left"/>
    </xf>
    <xf numFmtId="166" fontId="7" fillId="0" borderId="0" xfId="24" applyNumberFormat="1" applyFont="1" applyFill="1" applyBorder="1" applyAlignment="1"/>
    <xf numFmtId="174" fontId="7" fillId="0" borderId="0" xfId="25" applyNumberFormat="1" applyFont="1" applyFill="1" applyBorder="1" applyAlignment="1"/>
    <xf numFmtId="173" fontId="7" fillId="0" borderId="1" xfId="24" applyNumberFormat="1" applyFont="1" applyFill="1" applyBorder="1" applyAlignment="1"/>
    <xf numFmtId="173" fontId="7" fillId="0" borderId="0" xfId="24" applyNumberFormat="1" applyFont="1" applyFill="1" applyBorder="1" applyAlignment="1"/>
    <xf numFmtId="0" fontId="0" fillId="0" borderId="0" xfId="0" applyAlignment="1">
      <alignment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wrapText="1"/>
    </xf>
    <xf numFmtId="44" fontId="7" fillId="0" borderId="4" xfId="2" applyFont="1" applyFill="1" applyBorder="1" applyAlignment="1">
      <alignment horizontal="right"/>
    </xf>
    <xf numFmtId="0" fontId="7" fillId="0" borderId="0" xfId="30" applyFont="1" applyAlignment="1">
      <alignment horizontal="left"/>
    </xf>
    <xf numFmtId="0" fontId="23" fillId="0" borderId="0" xfId="31"/>
    <xf numFmtId="0" fontId="9" fillId="0" borderId="3" xfId="30" applyFont="1" applyBorder="1" applyAlignment="1">
      <alignment horizontal="center" wrapText="1"/>
    </xf>
    <xf numFmtId="0" fontId="7" fillId="0" borderId="0" xfId="30" applyFont="1" applyAlignment="1">
      <alignment wrapText="1"/>
    </xf>
    <xf numFmtId="164" fontId="7" fillId="0" borderId="0" xfId="25" applyNumberFormat="1" applyFont="1" applyFill="1" applyBorder="1" applyAlignment="1"/>
    <xf numFmtId="0" fontId="7" fillId="0" borderId="0" xfId="30" applyFont="1" applyAlignment="1">
      <alignment wrapText="1" indent="2"/>
    </xf>
    <xf numFmtId="43" fontId="7" fillId="0" borderId="1" xfId="24" applyFont="1" applyFill="1" applyBorder="1" applyAlignment="1"/>
    <xf numFmtId="43" fontId="7" fillId="0" borderId="0" xfId="24" applyFont="1" applyFill="1" applyBorder="1" applyAlignment="1"/>
    <xf numFmtId="174" fontId="7" fillId="0" borderId="4" xfId="25" applyNumberFormat="1" applyFont="1" applyFill="1" applyBorder="1" applyAlignment="1"/>
    <xf numFmtId="166" fontId="0" fillId="0" borderId="1" xfId="1" applyNumberFormat="1" applyFont="1" applyBorder="1" applyAlignment="1">
      <alignment wrapText="1"/>
    </xf>
    <xf numFmtId="166" fontId="0" fillId="0" borderId="4" xfId="1" applyNumberFormat="1" applyFont="1" applyBorder="1" applyAlignment="1">
      <alignment wrapText="1"/>
    </xf>
    <xf numFmtId="0" fontId="0" fillId="0" borderId="0" xfId="0" applyAlignment="1">
      <alignment wrapText="1"/>
    </xf>
    <xf numFmtId="0" fontId="7" fillId="0" borderId="0" xfId="30" applyFont="1" applyAlignment="1"/>
    <xf numFmtId="44" fontId="7" fillId="0" borderId="0" xfId="30" applyNumberFormat="1" applyFont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171" fontId="7" fillId="0" borderId="0" xfId="0" applyNumberFormat="1" applyFont="1" applyAlignment="1"/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171" fontId="7" fillId="0" borderId="0" xfId="0" applyNumberFormat="1" applyFont="1" applyAlignment="1"/>
    <xf numFmtId="164" fontId="7" fillId="0" borderId="0" xfId="2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8" fontId="7" fillId="0" borderId="0" xfId="0" applyNumberFormat="1" applyFont="1" applyFill="1" applyBorder="1" applyAlignment="1">
      <alignment horizontal="right"/>
    </xf>
    <xf numFmtId="44" fontId="7" fillId="0" borderId="4" xfId="2" applyNumberFormat="1" applyFont="1" applyFill="1" applyBorder="1" applyAlignment="1">
      <alignment horizontal="right"/>
    </xf>
    <xf numFmtId="166" fontId="7" fillId="0" borderId="4" xfId="1" applyNumberFormat="1" applyFont="1" applyFill="1" applyBorder="1" applyAlignment="1">
      <alignment horizontal="right"/>
    </xf>
    <xf numFmtId="44" fontId="7" fillId="0" borderId="5" xfId="0" applyNumberFormat="1" applyFont="1" applyFill="1" applyBorder="1" applyAlignment="1">
      <alignment horizontal="right"/>
    </xf>
    <xf numFmtId="171" fontId="7" fillId="0" borderId="0" xfId="0" applyNumberFormat="1" applyFont="1" applyFill="1" applyBorder="1" applyAlignment="1"/>
    <xf numFmtId="0" fontId="0" fillId="0" borderId="0" xfId="0" applyFill="1" applyBorder="1" applyAlignment="1"/>
    <xf numFmtId="166" fontId="7" fillId="0" borderId="4" xfId="1" applyNumberFormat="1" applyFont="1" applyFill="1" applyBorder="1" applyAlignment="1"/>
    <xf numFmtId="44" fontId="7" fillId="0" borderId="0" xfId="2" applyNumberFormat="1" applyFont="1" applyFill="1" applyBorder="1" applyAlignment="1">
      <alignment horizontal="center"/>
    </xf>
    <xf numFmtId="44" fontId="7" fillId="0" borderId="0" xfId="2" applyNumberFormat="1" applyFont="1" applyFill="1" applyBorder="1" applyAlignment="1">
      <alignment horizontal="left"/>
    </xf>
    <xf numFmtId="43" fontId="7" fillId="0" borderId="0" xfId="1" applyFont="1" applyFill="1" applyBorder="1" applyAlignment="1"/>
    <xf numFmtId="44" fontId="7" fillId="0" borderId="6" xfId="2" applyFont="1" applyFill="1" applyBorder="1" applyAlignment="1"/>
    <xf numFmtId="0" fontId="0" fillId="0" borderId="0" xfId="0" applyAlignment="1">
      <alignment wrapText="1"/>
    </xf>
    <xf numFmtId="167" fontId="7" fillId="0" borderId="0" xfId="0" applyNumberFormat="1" applyFont="1" applyFill="1" applyBorder="1" applyAlignment="1">
      <alignment horizontal="left"/>
    </xf>
    <xf numFmtId="164" fontId="7" fillId="0" borderId="0" xfId="0" applyNumberFormat="1" applyFont="1" applyAlignment="1">
      <alignment horizontal="left"/>
    </xf>
    <xf numFmtId="0" fontId="8" fillId="0" borderId="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165" fontId="7" fillId="0" borderId="0" xfId="0" applyNumberFormat="1" applyFont="1" applyFill="1" applyBorder="1" applyAlignment="1">
      <alignment horizontal="left"/>
    </xf>
    <xf numFmtId="0" fontId="8" fillId="0" borderId="0" xfId="0" applyFont="1" applyBorder="1" applyAlignment="1"/>
    <xf numFmtId="44" fontId="7" fillId="0" borderId="0" xfId="25" applyFont="1" applyFill="1" applyBorder="1" applyAlignment="1"/>
    <xf numFmtId="0" fontId="4" fillId="0" borderId="0" xfId="30" applyBorder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7" fillId="0" borderId="0" xfId="30" applyFont="1" applyAlignment="1">
      <alignment horizontal="left"/>
    </xf>
    <xf numFmtId="0" fontId="7" fillId="0" borderId="0" xfId="0" applyFont="1" applyAlignment="1">
      <alignment wrapText="1"/>
    </xf>
    <xf numFmtId="0" fontId="8" fillId="0" borderId="1" xfId="30" applyFont="1" applyBorder="1" applyAlignment="1"/>
    <xf numFmtId="0" fontId="24" fillId="0" borderId="0" xfId="0" applyFont="1" applyAlignment="1">
      <alignment wrapText="1"/>
    </xf>
    <xf numFmtId="0" fontId="25" fillId="0" borderId="7" xfId="0" applyFont="1" applyBorder="1" applyAlignment="1">
      <alignment horizontal="center" wrapText="1"/>
    </xf>
    <xf numFmtId="0" fontId="25" fillId="0" borderId="2" xfId="0" applyFont="1" applyBorder="1" applyAlignment="1">
      <alignment horizontal="center" wrapText="1"/>
    </xf>
    <xf numFmtId="0" fontId="25" fillId="0" borderId="8" xfId="0" applyFont="1" applyBorder="1" applyAlignment="1">
      <alignment horizontal="center" wrapText="1"/>
    </xf>
    <xf numFmtId="0" fontId="7" fillId="0" borderId="0" xfId="0" applyFont="1" applyBorder="1"/>
    <xf numFmtId="0" fontId="7" fillId="0" borderId="0" xfId="0" applyFont="1"/>
    <xf numFmtId="164" fontId="7" fillId="0" borderId="0" xfId="2" applyNumberFormat="1" applyFont="1" applyBorder="1"/>
    <xf numFmtId="166" fontId="7" fillId="0" borderId="0" xfId="1" applyNumberFormat="1" applyFont="1"/>
    <xf numFmtId="0" fontId="7" fillId="0" borderId="0" xfId="0" applyFont="1" applyAlignment="1">
      <alignment horizontal="left" wrapText="1" indent="1"/>
    </xf>
    <xf numFmtId="0" fontId="18" fillId="0" borderId="0" xfId="31" applyFont="1"/>
    <xf numFmtId="164" fontId="7" fillId="0" borderId="0" xfId="2" applyNumberFormat="1" applyFont="1" applyFill="1" applyBorder="1"/>
    <xf numFmtId="0" fontId="25" fillId="0" borderId="0" xfId="0" applyFont="1" applyFill="1" applyAlignment="1">
      <alignment wrapText="1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"/>
    </xf>
    <xf numFmtId="0" fontId="23" fillId="0" borderId="0" xfId="31" applyAlignment="1"/>
    <xf numFmtId="0" fontId="18" fillId="0" borderId="0" xfId="31" applyFont="1" applyAlignment="1"/>
    <xf numFmtId="0" fontId="26" fillId="0" borderId="0" xfId="31" applyFont="1" applyAlignment="1"/>
    <xf numFmtId="0" fontId="7" fillId="0" borderId="0" xfId="0" applyFont="1" applyAlignment="1">
      <alignment vertical="center"/>
    </xf>
    <xf numFmtId="0" fontId="18" fillId="0" borderId="0" xfId="31" applyFont="1" applyAlignment="1">
      <alignment horizontal="left"/>
    </xf>
    <xf numFmtId="0" fontId="23" fillId="0" borderId="0" xfId="31" applyAlignment="1">
      <alignment horizontal="left" wrapText="1"/>
    </xf>
    <xf numFmtId="0" fontId="23" fillId="0" borderId="0" xfId="3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left"/>
    </xf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30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167" fontId="7" fillId="0" borderId="0" xfId="1" applyNumberFormat="1" applyFont="1" applyFill="1" applyBorder="1" applyAlignment="1"/>
    <xf numFmtId="0" fontId="8" fillId="0" borderId="1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left"/>
    </xf>
    <xf numFmtId="166" fontId="7" fillId="0" borderId="1" xfId="1" applyNumberFormat="1" applyFont="1" applyFill="1" applyBorder="1" applyAlignment="1">
      <alignment horizontal="left"/>
    </xf>
    <xf numFmtId="165" fontId="7" fillId="0" borderId="4" xfId="0" applyNumberFormat="1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71" fontId="7" fillId="0" borderId="0" xfId="0" applyNumberFormat="1" applyFont="1" applyAlignment="1"/>
    <xf numFmtId="166" fontId="7" fillId="0" borderId="0" xfId="1" applyNumberFormat="1" applyFont="1" applyFill="1" applyBorder="1"/>
    <xf numFmtId="166" fontId="7" fillId="0" borderId="0" xfId="1" applyNumberFormat="1" applyFont="1" applyFill="1"/>
    <xf numFmtId="164" fontId="7" fillId="0" borderId="2" xfId="2" applyNumberFormat="1" applyFont="1" applyFill="1" applyBorder="1"/>
    <xf numFmtId="44" fontId="7" fillId="0" borderId="0" xfId="2" applyFont="1" applyFill="1" applyBorder="1"/>
    <xf numFmtId="164" fontId="7" fillId="0" borderId="6" xfId="2" applyNumberFormat="1" applyFont="1" applyFill="1" applyBorder="1"/>
    <xf numFmtId="0" fontId="24" fillId="0" borderId="0" xfId="0" applyFont="1" applyFill="1" applyAlignment="1">
      <alignment wrapText="1"/>
    </xf>
    <xf numFmtId="0" fontId="25" fillId="0" borderId="7" xfId="0" applyFont="1" applyFill="1" applyBorder="1" applyAlignment="1">
      <alignment horizontal="center" wrapText="1"/>
    </xf>
    <xf numFmtId="0" fontId="25" fillId="0" borderId="2" xfId="0" applyFont="1" applyFill="1" applyBorder="1" applyAlignment="1">
      <alignment horizontal="center" wrapText="1"/>
    </xf>
    <xf numFmtId="0" fontId="25" fillId="0" borderId="8" xfId="0" applyFont="1" applyFill="1" applyBorder="1" applyAlignment="1">
      <alignment horizontal="center" wrapText="1"/>
    </xf>
    <xf numFmtId="0" fontId="7" fillId="0" borderId="0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left" wrapText="1" indent="1"/>
    </xf>
    <xf numFmtId="0" fontId="8" fillId="0" borderId="1" xfId="0" applyFont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6" fontId="7" fillId="0" borderId="0" xfId="1" applyNumberFormat="1" applyFont="1" applyFill="1" applyBorder="1"/>
    <xf numFmtId="166" fontId="7" fillId="0" borderId="0" xfId="1" applyNumberFormat="1" applyFont="1" applyBorder="1"/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0" fillId="0" borderId="0" xfId="0" applyAlignment="1">
      <alignment wrapText="1"/>
    </xf>
    <xf numFmtId="171" fontId="7" fillId="0" borderId="0" xfId="0" applyNumberFormat="1" applyFont="1" applyAlignment="1"/>
    <xf numFmtId="0" fontId="4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9" fillId="0" borderId="3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15" fillId="0" borderId="0" xfId="0" applyFont="1" applyAlignment="1">
      <alignment horizontal="left"/>
    </xf>
    <xf numFmtId="0" fontId="5" fillId="0" borderId="0" xfId="30" applyFont="1" applyAlignment="1">
      <alignment horizontal="center" wrapText="1"/>
    </xf>
    <xf numFmtId="0" fontId="7" fillId="0" borderId="0" xfId="30" applyFont="1" applyAlignment="1">
      <alignment horizontal="left"/>
    </xf>
    <xf numFmtId="0" fontId="8" fillId="0" borderId="2" xfId="30" applyFont="1" applyBorder="1" applyAlignment="1">
      <alignment horizontal="center" wrapText="1"/>
    </xf>
    <xf numFmtId="0" fontId="23" fillId="0" borderId="0" xfId="31" applyAlignment="1">
      <alignment wrapText="1"/>
    </xf>
    <xf numFmtId="0" fontId="4" fillId="0" borderId="0" xfId="30" applyAlignment="1">
      <alignment horizontal="left"/>
    </xf>
    <xf numFmtId="0" fontId="5" fillId="0" borderId="0" xfId="30" applyFont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0" fontId="10" fillId="0" borderId="0" xfId="0" applyFont="1" applyAlignment="1">
      <alignment wrapText="1"/>
    </xf>
    <xf numFmtId="171" fontId="7" fillId="0" borderId="0" xfId="0" applyNumberFormat="1" applyFont="1" applyAlignment="1"/>
    <xf numFmtId="0" fontId="5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</cellXfs>
  <cellStyles count="45">
    <cellStyle name="Comma" xfId="1" builtinId="3"/>
    <cellStyle name="Comma 2" xfId="4"/>
    <cellStyle name="Comma 3" xfId="5"/>
    <cellStyle name="Comma 3 2" xfId="28"/>
    <cellStyle name="Comma 3 2 2" xfId="42"/>
    <cellStyle name="Comma 3 3" xfId="20"/>
    <cellStyle name="Comma 3 3 2" xfId="38"/>
    <cellStyle name="Comma 3 4" xfId="32"/>
    <cellStyle name="Comma 4" xfId="6"/>
    <cellStyle name="Comma 5" xfId="24"/>
    <cellStyle name="Comma 6" xfId="16"/>
    <cellStyle name="Currency" xfId="2" builtinId="4"/>
    <cellStyle name="Currency 2" xfId="7"/>
    <cellStyle name="Currency 3" xfId="8"/>
    <cellStyle name="Currency 3 2" xfId="29"/>
    <cellStyle name="Currency 3 2 2" xfId="43"/>
    <cellStyle name="Currency 3 3" xfId="21"/>
    <cellStyle name="Currency 3 3 2" xfId="39"/>
    <cellStyle name="Currency 3 4" xfId="33"/>
    <cellStyle name="Currency 4" xfId="9"/>
    <cellStyle name="Currency 5" xfId="25"/>
    <cellStyle name="Currency 6" xfId="17"/>
    <cellStyle name="Normal" xfId="0" builtinId="0"/>
    <cellStyle name="Normal 2" xfId="3"/>
    <cellStyle name="Normal 2 2" xfId="10"/>
    <cellStyle name="Normal 2 3" xfId="26"/>
    <cellStyle name="Normal 2 4" xfId="22"/>
    <cellStyle name="Normal 2 4 2" xfId="40"/>
    <cellStyle name="Normal 3" xfId="11"/>
    <cellStyle name="Normal 3 2" xfId="27"/>
    <cellStyle name="Normal 3 2 2" xfId="41"/>
    <cellStyle name="Normal 3 3" xfId="19"/>
    <cellStyle name="Normal 3 3 2" xfId="37"/>
    <cellStyle name="Normal 3 4" xfId="34"/>
    <cellStyle name="Normal 4" xfId="12"/>
    <cellStyle name="Normal 5" xfId="23"/>
    <cellStyle name="Normal 5 2" xfId="30"/>
    <cellStyle name="Normal 6" xfId="15"/>
    <cellStyle name="Normal 6 2" xfId="36"/>
    <cellStyle name="Normal 7" xfId="14"/>
    <cellStyle name="Normal 7 2" xfId="35"/>
    <cellStyle name="Normal 8" xfId="31"/>
    <cellStyle name="Normal 8 2" xfId="44"/>
    <cellStyle name="Percent 2" xfId="13"/>
    <cellStyle name="Percent 3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104"/>
  <sheetViews>
    <sheetView workbookViewId="0">
      <selection activeCell="A34" sqref="A34"/>
    </sheetView>
  </sheetViews>
  <sheetFormatPr defaultColWidth="21.5" defaultRowHeight="13.5" customHeight="1" x14ac:dyDescent="0.2"/>
  <cols>
    <col min="1" max="1" width="74" style="1" bestFit="1" customWidth="1"/>
    <col min="2" max="2" width="17.83203125" style="1" customWidth="1"/>
    <col min="3" max="3" width="17.83203125" style="213" customWidth="1"/>
    <col min="4" max="4" width="1" style="1" customWidth="1"/>
    <col min="5" max="6" width="17.83203125" style="1" customWidth="1"/>
    <col min="7" max="7" width="0" style="1" hidden="1" customWidth="1"/>
    <col min="8" max="9" width="21.5" style="1" hidden="1" customWidth="1"/>
    <col min="10" max="16384" width="21.5" style="1"/>
  </cols>
  <sheetData>
    <row r="1" spans="1:11" ht="13.5" customHeight="1" x14ac:dyDescent="0.25">
      <c r="A1" s="305" t="s">
        <v>0</v>
      </c>
      <c r="B1" s="305"/>
      <c r="C1" s="305"/>
    </row>
    <row r="2" spans="1:11" ht="13.5" customHeight="1" x14ac:dyDescent="0.25">
      <c r="A2" s="305" t="s">
        <v>180</v>
      </c>
      <c r="B2" s="305"/>
      <c r="C2" s="305"/>
    </row>
    <row r="3" spans="1:11" ht="13.5" customHeight="1" x14ac:dyDescent="0.25">
      <c r="A3" s="305" t="s">
        <v>1</v>
      </c>
      <c r="B3" s="305"/>
      <c r="C3" s="305"/>
    </row>
    <row r="4" spans="1:11" ht="13.5" customHeight="1" x14ac:dyDescent="0.2">
      <c r="A4" s="2"/>
      <c r="B4" s="2"/>
    </row>
    <row r="5" spans="1:11" s="125" customFormat="1" ht="13.5" customHeight="1" x14ac:dyDescent="0.2">
      <c r="A5" s="22"/>
      <c r="B5" s="22"/>
      <c r="C5" s="213"/>
    </row>
    <row r="6" spans="1:11" ht="13.5" customHeight="1" x14ac:dyDescent="0.2">
      <c r="A6" s="3"/>
      <c r="B6" s="303" t="s">
        <v>203</v>
      </c>
      <c r="C6" s="303"/>
      <c r="E6" s="303" t="s">
        <v>204</v>
      </c>
      <c r="F6" s="303"/>
      <c r="H6" s="299" t="s">
        <v>211</v>
      </c>
    </row>
    <row r="7" spans="1:11" ht="12.75" x14ac:dyDescent="0.2">
      <c r="A7" s="3"/>
      <c r="B7" s="148">
        <v>2018</v>
      </c>
      <c r="C7" s="216">
        <v>2017</v>
      </c>
      <c r="E7" s="287">
        <v>2018</v>
      </c>
      <c r="F7" s="216">
        <v>2017</v>
      </c>
    </row>
    <row r="8" spans="1:11" ht="13.5" customHeight="1" x14ac:dyDescent="0.2">
      <c r="A8" s="3"/>
      <c r="B8" s="304" t="s">
        <v>3</v>
      </c>
      <c r="C8" s="304"/>
      <c r="D8" s="304"/>
      <c r="E8" s="304"/>
      <c r="F8" s="304"/>
    </row>
    <row r="9" spans="1:11" ht="13.5" customHeight="1" x14ac:dyDescent="0.2">
      <c r="A9" s="3"/>
      <c r="B9" s="25"/>
      <c r="C9" s="25"/>
      <c r="E9" s="25"/>
      <c r="F9" s="25"/>
    </row>
    <row r="10" spans="1:11" ht="13.5" customHeight="1" x14ac:dyDescent="0.2">
      <c r="A10" s="54" t="s">
        <v>4</v>
      </c>
      <c r="B10" s="200">
        <v>633180</v>
      </c>
      <c r="C10" s="200">
        <v>613538</v>
      </c>
      <c r="E10" s="200">
        <v>1800824</v>
      </c>
      <c r="F10" s="200">
        <v>1764379</v>
      </c>
      <c r="H10" s="200">
        <v>1167644</v>
      </c>
      <c r="I10" s="300">
        <f>E10-H10</f>
        <v>633180</v>
      </c>
      <c r="K10" s="300"/>
    </row>
    <row r="11" spans="1:11" ht="13.5" customHeight="1" x14ac:dyDescent="0.2">
      <c r="A11" s="27"/>
      <c r="B11" s="201"/>
      <c r="C11" s="201"/>
      <c r="E11" s="201"/>
      <c r="F11" s="201"/>
      <c r="H11" s="201"/>
      <c r="I11" s="300"/>
    </row>
    <row r="12" spans="1:11" ht="13.5" customHeight="1" x14ac:dyDescent="0.2">
      <c r="A12" s="54" t="s">
        <v>5</v>
      </c>
      <c r="B12" s="201"/>
      <c r="C12" s="201"/>
      <c r="E12" s="201"/>
      <c r="F12" s="201"/>
      <c r="H12" s="201"/>
      <c r="I12" s="300"/>
    </row>
    <row r="13" spans="1:11" ht="13.5" customHeight="1" x14ac:dyDescent="0.2">
      <c r="A13" s="55" t="s">
        <v>6</v>
      </c>
      <c r="B13" s="62">
        <v>482029</v>
      </c>
      <c r="C13" s="62">
        <f>495424-1045</f>
        <v>494379</v>
      </c>
      <c r="D13" s="42"/>
      <c r="E13" s="62">
        <f>1432174-20977</f>
        <v>1411197</v>
      </c>
      <c r="F13" s="62">
        <f>1391872-2578</f>
        <v>1389294</v>
      </c>
      <c r="H13" s="62">
        <v>929168</v>
      </c>
      <c r="I13" s="62">
        <f t="shared" ref="I13:I54" si="0">E13-H13</f>
        <v>482029</v>
      </c>
    </row>
    <row r="14" spans="1:11" ht="13.5" customHeight="1" x14ac:dyDescent="0.2">
      <c r="A14" s="55" t="s">
        <v>7</v>
      </c>
      <c r="B14" s="62">
        <v>31775</v>
      </c>
      <c r="C14" s="62">
        <v>31914</v>
      </c>
      <c r="E14" s="62">
        <v>92027</v>
      </c>
      <c r="F14" s="62">
        <v>94536</v>
      </c>
      <c r="H14" s="62">
        <v>60252</v>
      </c>
      <c r="I14" s="62">
        <f t="shared" si="0"/>
        <v>31775</v>
      </c>
    </row>
    <row r="15" spans="1:11" s="125" customFormat="1" ht="13.5" customHeight="1" x14ac:dyDescent="0.2">
      <c r="A15" s="55" t="s">
        <v>83</v>
      </c>
      <c r="B15" s="62">
        <v>6992</v>
      </c>
      <c r="C15" s="62">
        <v>7580</v>
      </c>
      <c r="E15" s="62">
        <v>20977</v>
      </c>
      <c r="F15" s="62">
        <v>22826</v>
      </c>
      <c r="H15" s="62">
        <v>13985</v>
      </c>
      <c r="I15" s="62">
        <f t="shared" si="0"/>
        <v>6992</v>
      </c>
    </row>
    <row r="16" spans="1:11" ht="13.5" customHeight="1" x14ac:dyDescent="0.2">
      <c r="A16" s="55" t="s">
        <v>85</v>
      </c>
      <c r="B16" s="62">
        <v>3241</v>
      </c>
      <c r="C16" s="62">
        <v>13861</v>
      </c>
      <c r="E16" s="62">
        <v>9540</v>
      </c>
      <c r="F16" s="62">
        <v>42903</v>
      </c>
      <c r="H16" s="62">
        <v>6299</v>
      </c>
      <c r="I16" s="62">
        <f t="shared" si="0"/>
        <v>3241</v>
      </c>
    </row>
    <row r="17" spans="1:9" ht="13.5" customHeight="1" x14ac:dyDescent="0.2">
      <c r="A17" s="55" t="s">
        <v>8</v>
      </c>
      <c r="B17" s="62">
        <v>10418</v>
      </c>
      <c r="C17" s="62">
        <v>1028</v>
      </c>
      <c r="E17" s="62">
        <v>22142</v>
      </c>
      <c r="F17" s="62">
        <v>2745</v>
      </c>
      <c r="H17" s="62">
        <v>11724</v>
      </c>
      <c r="I17" s="62">
        <f t="shared" si="0"/>
        <v>10418</v>
      </c>
    </row>
    <row r="18" spans="1:9" ht="13.5" customHeight="1" x14ac:dyDescent="0.2">
      <c r="A18" s="55" t="s">
        <v>9</v>
      </c>
      <c r="B18" s="62">
        <v>22909</v>
      </c>
      <c r="C18" s="62">
        <f>21052+238</f>
        <v>21290</v>
      </c>
      <c r="E18" s="62">
        <v>73613</v>
      </c>
      <c r="F18" s="62">
        <f>63721+787</f>
        <v>64508</v>
      </c>
      <c r="H18" s="62">
        <v>50704</v>
      </c>
      <c r="I18" s="62">
        <f t="shared" si="0"/>
        <v>22909</v>
      </c>
    </row>
    <row r="19" spans="1:9" s="295" customFormat="1" ht="13.5" customHeight="1" x14ac:dyDescent="0.2">
      <c r="A19" s="55" t="s">
        <v>210</v>
      </c>
      <c r="B19" s="62">
        <v>0</v>
      </c>
      <c r="C19" s="62">
        <v>-21574</v>
      </c>
      <c r="E19" s="62">
        <v>0</v>
      </c>
      <c r="F19" s="62">
        <v>-21574</v>
      </c>
      <c r="H19" s="62">
        <v>0</v>
      </c>
      <c r="I19" s="62">
        <f t="shared" si="0"/>
        <v>0</v>
      </c>
    </row>
    <row r="20" spans="1:9" ht="13.5" customHeight="1" x14ac:dyDescent="0.2">
      <c r="A20" s="55" t="s">
        <v>100</v>
      </c>
      <c r="B20" s="56">
        <v>-7070</v>
      </c>
      <c r="C20" s="56">
        <f>-8236-14</f>
        <v>-8250</v>
      </c>
      <c r="E20" s="56">
        <f>-32654+11334</f>
        <v>-21320</v>
      </c>
      <c r="F20" s="56">
        <f>-14095+17</f>
        <v>-14078</v>
      </c>
      <c r="H20" s="56">
        <v>-14250</v>
      </c>
      <c r="I20" s="56">
        <f t="shared" si="0"/>
        <v>-7070</v>
      </c>
    </row>
    <row r="21" spans="1:9" ht="13.5" customHeight="1" x14ac:dyDescent="0.2">
      <c r="A21" s="57"/>
      <c r="B21" s="56">
        <f>SUM(B13:B20)</f>
        <v>550294</v>
      </c>
      <c r="C21" s="56">
        <f>SUM(C13:C20)</f>
        <v>540228</v>
      </c>
      <c r="D21" s="42"/>
      <c r="E21" s="56">
        <f>SUM(E13:E20)</f>
        <v>1608176</v>
      </c>
      <c r="F21" s="56">
        <f>SUM(F13:F20)</f>
        <v>1581160</v>
      </c>
      <c r="H21" s="56">
        <v>1057882</v>
      </c>
      <c r="I21" s="56">
        <f t="shared" si="0"/>
        <v>550294</v>
      </c>
    </row>
    <row r="22" spans="1:9" ht="13.5" customHeight="1" x14ac:dyDescent="0.2">
      <c r="A22" s="27"/>
      <c r="B22" s="62"/>
      <c r="C22" s="62"/>
      <c r="E22" s="62"/>
      <c r="F22" s="62"/>
      <c r="H22" s="62"/>
      <c r="I22" s="62">
        <f t="shared" si="0"/>
        <v>0</v>
      </c>
    </row>
    <row r="23" spans="1:9" ht="13.5" customHeight="1" x14ac:dyDescent="0.2">
      <c r="A23" s="59" t="s">
        <v>166</v>
      </c>
      <c r="B23" s="62">
        <f>+B10-B21</f>
        <v>82886</v>
      </c>
      <c r="C23" s="62">
        <f>+C10-C21</f>
        <v>73310</v>
      </c>
      <c r="D23" s="42"/>
      <c r="E23" s="62">
        <f>+E10-E21</f>
        <v>192648</v>
      </c>
      <c r="F23" s="62">
        <f>+F10-F21</f>
        <v>183219</v>
      </c>
      <c r="H23" s="62">
        <v>109762</v>
      </c>
      <c r="I23" s="62">
        <f t="shared" si="0"/>
        <v>82886</v>
      </c>
    </row>
    <row r="24" spans="1:9" ht="13.5" customHeight="1" x14ac:dyDescent="0.2">
      <c r="A24" s="27"/>
      <c r="B24" s="62"/>
      <c r="C24" s="62"/>
      <c r="E24" s="62"/>
      <c r="F24" s="62"/>
      <c r="H24" s="62"/>
      <c r="I24" s="62">
        <f t="shared" si="0"/>
        <v>0</v>
      </c>
    </row>
    <row r="25" spans="1:9" ht="13.5" customHeight="1" x14ac:dyDescent="0.2">
      <c r="A25" s="54" t="s">
        <v>10</v>
      </c>
      <c r="B25" s="62"/>
      <c r="C25" s="62"/>
      <c r="E25" s="62"/>
      <c r="F25" s="62"/>
      <c r="H25" s="62"/>
      <c r="I25" s="62">
        <f t="shared" si="0"/>
        <v>0</v>
      </c>
    </row>
    <row r="26" spans="1:9" ht="13.5" customHeight="1" x14ac:dyDescent="0.2">
      <c r="A26" s="55" t="s">
        <v>11</v>
      </c>
      <c r="B26" s="62">
        <v>-5179</v>
      </c>
      <c r="C26" s="62">
        <v>-5972</v>
      </c>
      <c r="E26" s="62">
        <v>-15624</v>
      </c>
      <c r="F26" s="62">
        <v>-21400</v>
      </c>
      <c r="H26" s="62">
        <v>-10445</v>
      </c>
      <c r="I26" s="62">
        <f t="shared" si="0"/>
        <v>-5179</v>
      </c>
    </row>
    <row r="27" spans="1:9" ht="13.5" customHeight="1" x14ac:dyDescent="0.2">
      <c r="A27" s="55" t="s">
        <v>12</v>
      </c>
      <c r="B27" s="62">
        <v>1801</v>
      </c>
      <c r="C27" s="62">
        <v>720</v>
      </c>
      <c r="E27" s="62">
        <v>4626</v>
      </c>
      <c r="F27" s="62">
        <v>2089</v>
      </c>
      <c r="H27" s="62">
        <v>2825</v>
      </c>
      <c r="I27" s="62">
        <f t="shared" si="0"/>
        <v>1801</v>
      </c>
    </row>
    <row r="28" spans="1:9" ht="13.5" customHeight="1" x14ac:dyDescent="0.2">
      <c r="A28" s="27"/>
      <c r="B28" s="58">
        <f>SUM(B26:B27)</f>
        <v>-3378</v>
      </c>
      <c r="C28" s="58">
        <f>SUM(C26:C27)</f>
        <v>-5252</v>
      </c>
      <c r="E28" s="58">
        <f>SUM(E26:E27)</f>
        <v>-10998</v>
      </c>
      <c r="F28" s="58">
        <f>SUM(F26:F27)</f>
        <v>-19311</v>
      </c>
      <c r="H28" s="58">
        <v>-7620</v>
      </c>
      <c r="I28" s="58">
        <f t="shared" si="0"/>
        <v>-3378</v>
      </c>
    </row>
    <row r="29" spans="1:9" ht="13.5" customHeight="1" x14ac:dyDescent="0.2">
      <c r="A29" s="27"/>
      <c r="B29" s="62"/>
      <c r="C29" s="62"/>
      <c r="E29" s="62"/>
      <c r="F29" s="62"/>
      <c r="H29" s="62"/>
      <c r="I29" s="62">
        <f t="shared" si="0"/>
        <v>0</v>
      </c>
    </row>
    <row r="30" spans="1:9" s="125" customFormat="1" ht="13.5" customHeight="1" x14ac:dyDescent="0.2">
      <c r="A30" s="123" t="s">
        <v>167</v>
      </c>
      <c r="B30" s="62">
        <f>B23+B28</f>
        <v>79508</v>
      </c>
      <c r="C30" s="62">
        <f>C23+C28</f>
        <v>68058</v>
      </c>
      <c r="D30" s="42"/>
      <c r="E30" s="62">
        <f>E23+E28</f>
        <v>181650</v>
      </c>
      <c r="F30" s="62">
        <f>F23+F28</f>
        <v>163908</v>
      </c>
      <c r="H30" s="62">
        <v>102142</v>
      </c>
      <c r="I30" s="62">
        <f t="shared" si="0"/>
        <v>79508</v>
      </c>
    </row>
    <row r="31" spans="1:9" s="125" customFormat="1" ht="13.5" customHeight="1" x14ac:dyDescent="0.2">
      <c r="A31" s="123"/>
      <c r="B31" s="62"/>
      <c r="C31" s="62"/>
      <c r="E31" s="62"/>
      <c r="F31" s="62"/>
      <c r="H31" s="62"/>
      <c r="I31" s="62">
        <f t="shared" si="0"/>
        <v>0</v>
      </c>
    </row>
    <row r="32" spans="1:9" s="50" customFormat="1" ht="13.5" customHeight="1" x14ac:dyDescent="0.2">
      <c r="A32" s="60" t="s">
        <v>172</v>
      </c>
      <c r="B32" s="62"/>
      <c r="C32" s="62"/>
      <c r="E32" s="62"/>
      <c r="F32" s="62"/>
      <c r="H32" s="62"/>
      <c r="I32" s="62">
        <f t="shared" si="0"/>
        <v>0</v>
      </c>
    </row>
    <row r="33" spans="1:9" s="263" customFormat="1" ht="13.5" customHeight="1" x14ac:dyDescent="0.2">
      <c r="A33" s="55" t="s">
        <v>181</v>
      </c>
      <c r="B33" s="62">
        <v>-971</v>
      </c>
      <c r="C33" s="62">
        <v>-821</v>
      </c>
      <c r="E33" s="62">
        <v>-2206</v>
      </c>
      <c r="F33" s="62">
        <v>-1774</v>
      </c>
      <c r="G33" s="42"/>
      <c r="H33" s="62">
        <v>-1235</v>
      </c>
      <c r="I33" s="62">
        <f t="shared" si="0"/>
        <v>-971</v>
      </c>
    </row>
    <row r="34" spans="1:9" s="50" customFormat="1" ht="13.5" customHeight="1" x14ac:dyDescent="0.2">
      <c r="A34" s="55" t="s">
        <v>76</v>
      </c>
      <c r="B34" s="62">
        <v>0</v>
      </c>
      <c r="C34" s="62">
        <v>-486</v>
      </c>
      <c r="E34" s="62">
        <v>-485</v>
      </c>
      <c r="F34" s="62">
        <v>-2547</v>
      </c>
      <c r="H34" s="62">
        <v>-485</v>
      </c>
      <c r="I34" s="62">
        <f t="shared" si="0"/>
        <v>0</v>
      </c>
    </row>
    <row r="35" spans="1:9" s="91" customFormat="1" ht="13.5" customHeight="1" x14ac:dyDescent="0.2">
      <c r="A35" s="55" t="s">
        <v>77</v>
      </c>
      <c r="B35" s="56">
        <v>-560</v>
      </c>
      <c r="C35" s="56">
        <v>-43</v>
      </c>
      <c r="E35" s="56">
        <v>-1601</v>
      </c>
      <c r="F35" s="56">
        <v>-2892</v>
      </c>
      <c r="H35" s="56">
        <v>-1041</v>
      </c>
      <c r="I35" s="56">
        <f t="shared" si="0"/>
        <v>-560</v>
      </c>
    </row>
    <row r="36" spans="1:9" s="83" customFormat="1" ht="13.5" customHeight="1" x14ac:dyDescent="0.2">
      <c r="A36" s="55"/>
      <c r="B36" s="58">
        <f>SUM(B33:B35)</f>
        <v>-1531</v>
      </c>
      <c r="C36" s="58">
        <f>SUM(C33:C35)</f>
        <v>-1350</v>
      </c>
      <c r="E36" s="58">
        <f>SUM(E33:E35)</f>
        <v>-4292</v>
      </c>
      <c r="F36" s="58">
        <f>SUM(F33:F35)</f>
        <v>-7213</v>
      </c>
      <c r="H36" s="58">
        <v>-2761</v>
      </c>
      <c r="I36" s="58">
        <f t="shared" si="0"/>
        <v>-1531</v>
      </c>
    </row>
    <row r="37" spans="1:9" s="50" customFormat="1" ht="13.5" customHeight="1" x14ac:dyDescent="0.2">
      <c r="A37" s="27"/>
      <c r="B37" s="62"/>
      <c r="C37" s="62"/>
      <c r="E37" s="62"/>
      <c r="F37" s="62"/>
      <c r="H37" s="62"/>
      <c r="I37" s="62">
        <f t="shared" si="0"/>
        <v>0</v>
      </c>
    </row>
    <row r="38" spans="1:9" ht="13.5" customHeight="1" x14ac:dyDescent="0.2">
      <c r="A38" s="61" t="s">
        <v>126</v>
      </c>
      <c r="B38" s="62">
        <f>B30+B36</f>
        <v>77977</v>
      </c>
      <c r="C38" s="62">
        <f>C30+C36</f>
        <v>66708</v>
      </c>
      <c r="D38" s="42"/>
      <c r="E38" s="62">
        <f>E30+E36</f>
        <v>177358</v>
      </c>
      <c r="F38" s="62">
        <f>F30+F36</f>
        <v>156695</v>
      </c>
      <c r="H38" s="62">
        <v>99381</v>
      </c>
      <c r="I38" s="62">
        <f t="shared" si="0"/>
        <v>77977</v>
      </c>
    </row>
    <row r="39" spans="1:9" ht="13.5" customHeight="1" x14ac:dyDescent="0.2">
      <c r="A39" s="61" t="s">
        <v>214</v>
      </c>
      <c r="B39" s="56">
        <v>-45215</v>
      </c>
      <c r="C39" s="56">
        <v>-1643</v>
      </c>
      <c r="E39" s="56">
        <v>-49125</v>
      </c>
      <c r="F39" s="56">
        <v>-484</v>
      </c>
      <c r="H39" s="56">
        <v>-3910</v>
      </c>
      <c r="I39" s="56">
        <f t="shared" si="0"/>
        <v>-45215</v>
      </c>
    </row>
    <row r="40" spans="1:9" s="31" customFormat="1" ht="13.5" customHeight="1" x14ac:dyDescent="0.2">
      <c r="A40" s="61"/>
      <c r="B40" s="62"/>
      <c r="C40" s="62"/>
      <c r="E40" s="62"/>
      <c r="F40" s="62"/>
      <c r="H40" s="62"/>
      <c r="I40" s="62">
        <f t="shared" si="0"/>
        <v>0</v>
      </c>
    </row>
    <row r="41" spans="1:9" ht="13.5" customHeight="1" thickBot="1" x14ac:dyDescent="0.25">
      <c r="A41" s="63" t="s">
        <v>119</v>
      </c>
      <c r="B41" s="64">
        <f>B38-B39</f>
        <v>123192</v>
      </c>
      <c r="C41" s="64">
        <f>C38-C39</f>
        <v>68351</v>
      </c>
      <c r="D41" s="42"/>
      <c r="E41" s="64">
        <f>E38-E39</f>
        <v>226483</v>
      </c>
      <c r="F41" s="64">
        <f>F38-F39</f>
        <v>157179</v>
      </c>
      <c r="H41" s="64">
        <v>103291</v>
      </c>
      <c r="I41" s="64">
        <f t="shared" si="0"/>
        <v>123192</v>
      </c>
    </row>
    <row r="42" spans="1:9" ht="13.5" customHeight="1" thickTop="1" x14ac:dyDescent="0.2">
      <c r="A42" s="60"/>
      <c r="B42" s="201"/>
      <c r="C42" s="201"/>
      <c r="H42" s="295"/>
      <c r="I42" s="297">
        <f t="shared" si="0"/>
        <v>0</v>
      </c>
    </row>
    <row r="43" spans="1:9" ht="13.5" customHeight="1" x14ac:dyDescent="0.2">
      <c r="A43" s="54" t="s">
        <v>120</v>
      </c>
      <c r="B43" s="202"/>
      <c r="C43" s="202"/>
      <c r="H43" s="295"/>
      <c r="I43" s="297">
        <f t="shared" si="0"/>
        <v>0</v>
      </c>
    </row>
    <row r="44" spans="1:9" ht="13.5" customHeight="1" thickBot="1" x14ac:dyDescent="0.25">
      <c r="A44" s="84" t="s">
        <v>121</v>
      </c>
      <c r="B44" s="203">
        <f>ROUND(B41/B48,2)</f>
        <v>6.4</v>
      </c>
      <c r="C44" s="203">
        <f>ROUND(C41/C48,2)</f>
        <v>2.9</v>
      </c>
      <c r="E44" s="203">
        <f>ROUND(E41/E48,2)</f>
        <v>11.27</v>
      </c>
      <c r="F44" s="203">
        <f>ROUND(F41/F48,2)</f>
        <v>6.44</v>
      </c>
      <c r="H44" s="203">
        <v>5.03</v>
      </c>
      <c r="I44" s="203">
        <f t="shared" si="0"/>
        <v>6.2399999999999993</v>
      </c>
    </row>
    <row r="45" spans="1:9" s="138" customFormat="1" ht="13.5" customHeight="1" thickTop="1" thickBot="1" x14ac:dyDescent="0.25">
      <c r="A45" s="137" t="s">
        <v>122</v>
      </c>
      <c r="B45" s="173">
        <f>ROUND(B41/B49,2)</f>
        <v>6.1</v>
      </c>
      <c r="C45" s="173">
        <f>ROUND(C41/C49,2)</f>
        <v>2.83</v>
      </c>
      <c r="E45" s="173">
        <f>ROUND(E41/E49,2)</f>
        <v>10.76</v>
      </c>
      <c r="F45" s="173">
        <f>ROUND(F41/F49,2)</f>
        <v>6.32</v>
      </c>
      <c r="H45" s="173">
        <v>4.8099999999999996</v>
      </c>
      <c r="I45" s="173">
        <f t="shared" si="0"/>
        <v>5.95</v>
      </c>
    </row>
    <row r="46" spans="1:9" ht="13.5" customHeight="1" thickTop="1" x14ac:dyDescent="0.2">
      <c r="A46" s="85"/>
      <c r="B46" s="201"/>
      <c r="C46" s="201"/>
      <c r="E46" s="201"/>
      <c r="F46" s="201"/>
      <c r="H46" s="201"/>
      <c r="I46" s="201">
        <f t="shared" si="0"/>
        <v>0</v>
      </c>
    </row>
    <row r="47" spans="1:9" s="172" customFormat="1" ht="13.5" customHeight="1" x14ac:dyDescent="0.2">
      <c r="A47" s="60" t="s">
        <v>110</v>
      </c>
      <c r="B47" s="201"/>
      <c r="C47" s="201"/>
      <c r="E47" s="201"/>
      <c r="F47" s="201"/>
      <c r="H47" s="201"/>
      <c r="I47" s="201">
        <f t="shared" si="0"/>
        <v>0</v>
      </c>
    </row>
    <row r="48" spans="1:9" ht="13.5" customHeight="1" thickBot="1" x14ac:dyDescent="0.25">
      <c r="A48" s="84" t="s">
        <v>84</v>
      </c>
      <c r="B48" s="204">
        <v>19250</v>
      </c>
      <c r="C48" s="204">
        <v>23580</v>
      </c>
      <c r="E48" s="204">
        <v>20102</v>
      </c>
      <c r="F48" s="204">
        <v>24416</v>
      </c>
      <c r="H48" s="204">
        <v>20529</v>
      </c>
      <c r="I48" s="204">
        <f t="shared" si="0"/>
        <v>-427</v>
      </c>
    </row>
    <row r="49" spans="1:9" s="138" customFormat="1" ht="13.5" customHeight="1" thickTop="1" thickBot="1" x14ac:dyDescent="0.25">
      <c r="A49" s="137" t="s">
        <v>13</v>
      </c>
      <c r="B49" s="204">
        <v>20208</v>
      </c>
      <c r="C49" s="204">
        <v>24135</v>
      </c>
      <c r="E49" s="204">
        <v>21040</v>
      </c>
      <c r="F49" s="204">
        <v>24875</v>
      </c>
      <c r="H49" s="204">
        <v>21456</v>
      </c>
      <c r="I49" s="204">
        <f t="shared" si="0"/>
        <v>-416</v>
      </c>
    </row>
    <row r="50" spans="1:9" ht="13.5" customHeight="1" thickTop="1" x14ac:dyDescent="0.2">
      <c r="A50" s="85"/>
      <c r="B50" s="201"/>
      <c r="C50" s="201"/>
      <c r="E50" s="201"/>
      <c r="F50" s="201"/>
      <c r="H50" s="201"/>
      <c r="I50" s="201">
        <f t="shared" si="0"/>
        <v>0</v>
      </c>
    </row>
    <row r="51" spans="1:9" s="172" customFormat="1" ht="13.5" customHeight="1" thickBot="1" x14ac:dyDescent="0.25">
      <c r="A51" s="171" t="s">
        <v>111</v>
      </c>
      <c r="B51" s="173">
        <v>0.4</v>
      </c>
      <c r="C51" s="173">
        <v>0.35</v>
      </c>
      <c r="E51" s="173">
        <v>1.2</v>
      </c>
      <c r="F51" s="173">
        <v>0.7</v>
      </c>
      <c r="H51" s="173">
        <v>0.8</v>
      </c>
      <c r="I51" s="173">
        <f t="shared" si="0"/>
        <v>0.39999999999999991</v>
      </c>
    </row>
    <row r="52" spans="1:9" s="172" customFormat="1" ht="13.5" customHeight="1" thickTop="1" x14ac:dyDescent="0.2">
      <c r="A52" s="171"/>
      <c r="B52" s="201"/>
      <c r="C52" s="201"/>
      <c r="E52" s="201"/>
      <c r="F52" s="201"/>
      <c r="H52" s="201"/>
      <c r="I52" s="201">
        <f t="shared" si="0"/>
        <v>0</v>
      </c>
    </row>
    <row r="53" spans="1:9" ht="13.5" customHeight="1" thickBot="1" x14ac:dyDescent="0.25">
      <c r="A53" s="54" t="s">
        <v>184</v>
      </c>
      <c r="B53" s="65">
        <f>'Reconciliation page'!B34</f>
        <v>124894</v>
      </c>
      <c r="C53" s="65">
        <f>'Reconciliation page'!C34</f>
        <v>105091</v>
      </c>
      <c r="E53" s="65">
        <f>'Reconciliation page'!E34</f>
        <v>315192</v>
      </c>
      <c r="F53" s="65">
        <f>'Reconciliation page'!F34</f>
        <v>321910</v>
      </c>
      <c r="H53" s="65">
        <v>190298</v>
      </c>
      <c r="I53" s="65">
        <f t="shared" si="0"/>
        <v>124894</v>
      </c>
    </row>
    <row r="54" spans="1:9" ht="13.5" customHeight="1" thickTop="1" thickBot="1" x14ac:dyDescent="0.25">
      <c r="A54" s="54" t="s">
        <v>123</v>
      </c>
      <c r="B54" s="205">
        <f>'Reconciliation page'!B71</f>
        <v>6.3276227236737927</v>
      </c>
      <c r="C54" s="205">
        <f>'Reconciliation page'!C71</f>
        <v>2.5736606587942821</v>
      </c>
      <c r="E54" s="205">
        <f>'Reconciliation page'!E71</f>
        <v>11.408669201520912</v>
      </c>
      <c r="F54" s="205">
        <f>'Reconciliation page'!F71</f>
        <v>7.4432241206030154</v>
      </c>
      <c r="H54" s="205">
        <v>5.2278989560029832</v>
      </c>
      <c r="I54" s="205">
        <f t="shared" si="0"/>
        <v>6.1807702455179285</v>
      </c>
    </row>
    <row r="55" spans="1:9" ht="36.75" customHeight="1" thickTop="1" x14ac:dyDescent="0.2">
      <c r="A55" s="302" t="s">
        <v>185</v>
      </c>
      <c r="B55" s="302"/>
      <c r="C55" s="302"/>
      <c r="D55" s="302"/>
      <c r="E55" s="302"/>
      <c r="F55" s="302"/>
    </row>
    <row r="56" spans="1:9" ht="13.5" customHeight="1" x14ac:dyDescent="0.2">
      <c r="A56" s="27"/>
      <c r="B56" s="27"/>
    </row>
    <row r="57" spans="1:9" ht="13.5" customHeight="1" x14ac:dyDescent="0.2">
      <c r="A57" s="27"/>
      <c r="B57" s="30"/>
    </row>
    <row r="58" spans="1:9" ht="13.5" customHeight="1" x14ac:dyDescent="0.2">
      <c r="A58" s="27"/>
      <c r="B58" s="67"/>
    </row>
    <row r="59" spans="1:9" ht="13.5" customHeight="1" x14ac:dyDescent="0.2">
      <c r="A59" s="27"/>
      <c r="B59" s="27"/>
    </row>
    <row r="60" spans="1:9" ht="13.5" customHeight="1" x14ac:dyDescent="0.2">
      <c r="A60" s="27"/>
      <c r="B60" s="27"/>
    </row>
    <row r="61" spans="1:9" ht="13.5" customHeight="1" x14ac:dyDescent="0.2">
      <c r="A61" s="68"/>
      <c r="B61" s="68"/>
    </row>
    <row r="62" spans="1:9" ht="13.5" customHeight="1" x14ac:dyDescent="0.2">
      <c r="A62" s="68"/>
      <c r="B62" s="68"/>
    </row>
    <row r="63" spans="1:9" ht="13.5" customHeight="1" x14ac:dyDescent="0.2">
      <c r="A63" s="2"/>
      <c r="B63" s="2"/>
    </row>
    <row r="64" spans="1:9" ht="13.5" customHeight="1" x14ac:dyDescent="0.2">
      <c r="A64" s="2"/>
      <c r="B64" s="2"/>
    </row>
    <row r="65" spans="1:2" ht="13.5" customHeight="1" x14ac:dyDescent="0.2">
      <c r="A65" s="2"/>
      <c r="B65" s="2"/>
    </row>
    <row r="66" spans="1:2" ht="13.5" customHeight="1" x14ac:dyDescent="0.2">
      <c r="A66" s="2"/>
      <c r="B66" s="2"/>
    </row>
    <row r="67" spans="1:2" ht="13.5" customHeight="1" x14ac:dyDescent="0.2">
      <c r="A67" s="2"/>
      <c r="B67" s="2"/>
    </row>
    <row r="68" spans="1:2" ht="13.5" customHeight="1" x14ac:dyDescent="0.2">
      <c r="A68" s="2"/>
      <c r="B68" s="2"/>
    </row>
    <row r="69" spans="1:2" ht="13.5" customHeight="1" x14ac:dyDescent="0.2">
      <c r="A69" s="2"/>
      <c r="B69" s="2"/>
    </row>
    <row r="70" spans="1:2" ht="13.5" customHeight="1" x14ac:dyDescent="0.2">
      <c r="A70" s="2"/>
      <c r="B70" s="2"/>
    </row>
    <row r="71" spans="1:2" ht="13.5" customHeight="1" x14ac:dyDescent="0.2">
      <c r="A71" s="2"/>
      <c r="B71" s="2"/>
    </row>
    <row r="72" spans="1:2" ht="13.5" customHeight="1" x14ac:dyDescent="0.2">
      <c r="A72" s="2"/>
      <c r="B72" s="2"/>
    </row>
    <row r="73" spans="1:2" ht="13.5" customHeight="1" x14ac:dyDescent="0.2">
      <c r="A73" s="2"/>
      <c r="B73" s="2"/>
    </row>
    <row r="74" spans="1:2" ht="13.5" customHeight="1" x14ac:dyDescent="0.2">
      <c r="A74" s="2"/>
      <c r="B74" s="2"/>
    </row>
    <row r="75" spans="1:2" ht="13.5" customHeight="1" x14ac:dyDescent="0.2">
      <c r="A75" s="2"/>
      <c r="B75" s="2"/>
    </row>
    <row r="76" spans="1:2" ht="13.5" customHeight="1" x14ac:dyDescent="0.2">
      <c r="A76" s="2"/>
      <c r="B76" s="2"/>
    </row>
    <row r="77" spans="1:2" ht="13.5" customHeight="1" x14ac:dyDescent="0.2">
      <c r="A77" s="2"/>
      <c r="B77" s="2"/>
    </row>
    <row r="78" spans="1:2" ht="13.5" customHeight="1" x14ac:dyDescent="0.2">
      <c r="A78" s="2"/>
      <c r="B78" s="2"/>
    </row>
    <row r="79" spans="1:2" ht="13.5" customHeight="1" x14ac:dyDescent="0.2">
      <c r="A79" s="2"/>
      <c r="B79" s="2"/>
    </row>
    <row r="80" spans="1:2" ht="13.5" customHeight="1" x14ac:dyDescent="0.2">
      <c r="A80" s="2"/>
      <c r="B80" s="2"/>
    </row>
    <row r="81" spans="1:2" ht="13.5" customHeight="1" x14ac:dyDescent="0.2">
      <c r="A81" s="2"/>
      <c r="B81" s="2"/>
    </row>
    <row r="82" spans="1:2" ht="13.5" customHeight="1" x14ac:dyDescent="0.2">
      <c r="A82" s="2"/>
      <c r="B82" s="2"/>
    </row>
    <row r="83" spans="1:2" ht="13.5" customHeight="1" x14ac:dyDescent="0.2">
      <c r="A83" s="2"/>
      <c r="B83" s="2"/>
    </row>
    <row r="84" spans="1:2" ht="13.5" customHeight="1" x14ac:dyDescent="0.2">
      <c r="A84" s="2"/>
      <c r="B84" s="2"/>
    </row>
    <row r="85" spans="1:2" ht="13.5" customHeight="1" x14ac:dyDescent="0.2">
      <c r="A85" s="2"/>
      <c r="B85" s="2"/>
    </row>
    <row r="86" spans="1:2" ht="13.5" customHeight="1" x14ac:dyDescent="0.2">
      <c r="A86" s="2"/>
      <c r="B86" s="2"/>
    </row>
    <row r="87" spans="1:2" ht="13.5" customHeight="1" x14ac:dyDescent="0.2">
      <c r="A87" s="2"/>
      <c r="B87" s="2"/>
    </row>
    <row r="88" spans="1:2" ht="13.5" customHeight="1" x14ac:dyDescent="0.2">
      <c r="A88" s="2"/>
      <c r="B88" s="2"/>
    </row>
    <row r="89" spans="1:2" ht="13.5" customHeight="1" x14ac:dyDescent="0.2">
      <c r="A89" s="2"/>
      <c r="B89" s="2"/>
    </row>
    <row r="90" spans="1:2" ht="13.5" customHeight="1" x14ac:dyDescent="0.2">
      <c r="A90" s="2"/>
      <c r="B90" s="2"/>
    </row>
    <row r="91" spans="1:2" ht="13.5" customHeight="1" x14ac:dyDescent="0.2">
      <c r="A91" s="2"/>
      <c r="B91" s="2"/>
    </row>
    <row r="92" spans="1:2" ht="13.5" customHeight="1" x14ac:dyDescent="0.2">
      <c r="A92" s="2"/>
      <c r="B92" s="2"/>
    </row>
    <row r="93" spans="1:2" ht="13.5" customHeight="1" x14ac:dyDescent="0.2">
      <c r="A93" s="2"/>
      <c r="B93" s="2"/>
    </row>
    <row r="94" spans="1:2" ht="13.5" customHeight="1" x14ac:dyDescent="0.2">
      <c r="A94" s="2"/>
      <c r="B94" s="2"/>
    </row>
    <row r="95" spans="1:2" ht="13.5" customHeight="1" x14ac:dyDescent="0.2">
      <c r="A95" s="2"/>
      <c r="B95" s="2"/>
    </row>
    <row r="96" spans="1:2" ht="13.5" customHeight="1" x14ac:dyDescent="0.2">
      <c r="A96" s="2"/>
      <c r="B96" s="2"/>
    </row>
    <row r="97" spans="1:2" ht="13.5" customHeight="1" x14ac:dyDescent="0.2">
      <c r="A97" s="2"/>
      <c r="B97" s="2"/>
    </row>
    <row r="98" spans="1:2" ht="13.5" customHeight="1" x14ac:dyDescent="0.2">
      <c r="A98" s="2"/>
      <c r="B98" s="2"/>
    </row>
    <row r="99" spans="1:2" ht="13.5" customHeight="1" x14ac:dyDescent="0.2">
      <c r="A99" s="2"/>
      <c r="B99" s="2"/>
    </row>
    <row r="100" spans="1:2" ht="13.5" customHeight="1" x14ac:dyDescent="0.2">
      <c r="A100" s="2"/>
      <c r="B100" s="2"/>
    </row>
    <row r="101" spans="1:2" ht="13.5" customHeight="1" x14ac:dyDescent="0.2">
      <c r="A101" s="2"/>
      <c r="B101" s="2"/>
    </row>
    <row r="102" spans="1:2" ht="13.5" customHeight="1" x14ac:dyDescent="0.2">
      <c r="A102" s="2"/>
      <c r="B102" s="2"/>
    </row>
    <row r="103" spans="1:2" ht="13.5" customHeight="1" x14ac:dyDescent="0.2">
      <c r="A103" s="2"/>
      <c r="B103" s="2"/>
    </row>
    <row r="104" spans="1:2" ht="13.5" customHeight="1" x14ac:dyDescent="0.2">
      <c r="A104" s="2"/>
      <c r="B104" s="2"/>
    </row>
  </sheetData>
  <mergeCells count="7">
    <mergeCell ref="A55:F55"/>
    <mergeCell ref="E6:F6"/>
    <mergeCell ref="B8:F8"/>
    <mergeCell ref="A1:C1"/>
    <mergeCell ref="A2:C2"/>
    <mergeCell ref="A3:C3"/>
    <mergeCell ref="B6:C6"/>
  </mergeCells>
  <pageMargins left="0.7" right="0.7" top="0.75" bottom="0.75" header="0.3" footer="0.3"/>
  <pageSetup scale="69" orientation="portrait" r:id="rId1"/>
  <ignoredErrors>
    <ignoredError sqref="B5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62"/>
  <sheetViews>
    <sheetView topLeftCell="A3" workbookViewId="0">
      <selection activeCell="E34" sqref="E1:F1048576"/>
    </sheetView>
  </sheetViews>
  <sheetFormatPr defaultColWidth="21.5" defaultRowHeight="13.5" customHeight="1" x14ac:dyDescent="0.2"/>
  <cols>
    <col min="1" max="1" width="65.33203125" style="1" customWidth="1"/>
    <col min="2" max="3" width="15.83203125" style="1" customWidth="1"/>
    <col min="4" max="4" width="21.5" style="1"/>
    <col min="5" max="5" width="26.1640625" style="100" hidden="1" customWidth="1"/>
    <col min="6" max="6" width="21.5" style="1" hidden="1" customWidth="1"/>
    <col min="7" max="16384" width="21.5" style="1"/>
  </cols>
  <sheetData>
    <row r="1" spans="1:7" ht="13.5" customHeight="1" x14ac:dyDescent="0.25">
      <c r="A1" s="305" t="s">
        <v>0</v>
      </c>
      <c r="B1" s="306"/>
      <c r="C1" s="306"/>
    </row>
    <row r="2" spans="1:7" ht="13.5" customHeight="1" x14ac:dyDescent="0.25">
      <c r="A2" s="305" t="s">
        <v>14</v>
      </c>
      <c r="B2" s="306"/>
      <c r="C2" s="306"/>
    </row>
    <row r="3" spans="1:7" ht="13.5" customHeight="1" x14ac:dyDescent="0.25">
      <c r="A3" s="305" t="s">
        <v>15</v>
      </c>
      <c r="B3" s="306"/>
      <c r="C3" s="306"/>
    </row>
    <row r="4" spans="1:7" ht="13.5" customHeight="1" x14ac:dyDescent="0.2">
      <c r="A4" s="3"/>
      <c r="B4" s="3"/>
      <c r="C4" s="3"/>
      <c r="D4" s="3"/>
    </row>
    <row r="5" spans="1:7" s="125" customFormat="1" ht="13.5" customHeight="1" x14ac:dyDescent="0.2">
      <c r="A5" s="124"/>
      <c r="B5" s="152"/>
      <c r="C5" s="152"/>
      <c r="D5" s="124"/>
      <c r="E5" s="100"/>
    </row>
    <row r="6" spans="1:7" ht="13.5" customHeight="1" x14ac:dyDescent="0.2">
      <c r="A6" s="3"/>
      <c r="B6" s="153" t="s">
        <v>205</v>
      </c>
      <c r="C6" s="129" t="s">
        <v>68</v>
      </c>
      <c r="D6" s="3"/>
    </row>
    <row r="7" spans="1:7" ht="13.5" customHeight="1" x14ac:dyDescent="0.2">
      <c r="A7" s="3"/>
      <c r="B7" s="148">
        <v>2018</v>
      </c>
      <c r="C7" s="14">
        <v>2017</v>
      </c>
      <c r="D7" s="3"/>
    </row>
    <row r="8" spans="1:7" ht="13.5" customHeight="1" x14ac:dyDescent="0.2">
      <c r="A8" s="3"/>
      <c r="B8" s="144" t="s">
        <v>3</v>
      </c>
      <c r="C8" s="128"/>
      <c r="D8" s="3"/>
    </row>
    <row r="9" spans="1:7" ht="13.5" customHeight="1" x14ac:dyDescent="0.2">
      <c r="A9" s="5" t="s">
        <v>16</v>
      </c>
      <c r="B9" s="25"/>
      <c r="C9" s="3"/>
      <c r="D9" s="3"/>
    </row>
    <row r="10" spans="1:7" ht="13.5" customHeight="1" x14ac:dyDescent="0.2">
      <c r="A10" s="5" t="s">
        <v>17</v>
      </c>
      <c r="B10" s="25"/>
      <c r="C10" s="3"/>
      <c r="D10" s="3"/>
    </row>
    <row r="11" spans="1:7" ht="13.5" customHeight="1" x14ac:dyDescent="0.2">
      <c r="A11" s="6" t="s">
        <v>18</v>
      </c>
      <c r="B11" s="154">
        <v>245679</v>
      </c>
      <c r="C11" s="69">
        <v>273387</v>
      </c>
      <c r="D11" s="3"/>
    </row>
    <row r="12" spans="1:7" ht="13.5" customHeight="1" x14ac:dyDescent="0.2">
      <c r="A12" s="6" t="s">
        <v>19</v>
      </c>
      <c r="B12" s="29">
        <v>162530</v>
      </c>
      <c r="C12" s="71">
        <v>155846</v>
      </c>
      <c r="D12" s="3"/>
    </row>
    <row r="13" spans="1:7" ht="13.5" customHeight="1" x14ac:dyDescent="0.2">
      <c r="A13" s="6" t="s">
        <v>20</v>
      </c>
      <c r="B13" s="29">
        <v>183318</v>
      </c>
      <c r="C13" s="71">
        <v>172604</v>
      </c>
      <c r="D13" s="3"/>
      <c r="F13" s="185"/>
      <c r="G13" s="185"/>
    </row>
    <row r="14" spans="1:7" ht="13.5" customHeight="1" x14ac:dyDescent="0.2">
      <c r="A14" s="6" t="s">
        <v>21</v>
      </c>
      <c r="B14" s="29">
        <v>26972</v>
      </c>
      <c r="C14" s="71">
        <v>29771</v>
      </c>
      <c r="D14" s="3"/>
      <c r="F14" s="185"/>
      <c r="G14" s="185"/>
    </row>
    <row r="15" spans="1:7" ht="13.5" customHeight="1" x14ac:dyDescent="0.2">
      <c r="A15" s="6" t="s">
        <v>22</v>
      </c>
      <c r="B15" s="29">
        <v>163878</v>
      </c>
      <c r="C15" s="71">
        <v>128960</v>
      </c>
      <c r="D15" s="3"/>
      <c r="F15" s="185"/>
      <c r="G15" s="185"/>
    </row>
    <row r="16" spans="1:7" ht="13.5" hidden="1" customHeight="1" x14ac:dyDescent="0.2">
      <c r="A16" s="6" t="s">
        <v>23</v>
      </c>
      <c r="B16" s="29"/>
      <c r="C16" s="71">
        <v>0</v>
      </c>
      <c r="D16" s="3"/>
      <c r="F16" s="185"/>
      <c r="G16" s="185"/>
    </row>
    <row r="17" spans="1:7" s="36" customFormat="1" ht="13.5" hidden="1" customHeight="1" x14ac:dyDescent="0.2">
      <c r="A17" s="6" t="s">
        <v>25</v>
      </c>
      <c r="B17" s="29"/>
      <c r="C17" s="26">
        <v>0</v>
      </c>
      <c r="D17" s="35"/>
      <c r="E17" s="100"/>
      <c r="F17" s="185"/>
      <c r="G17" s="185"/>
    </row>
    <row r="18" spans="1:7" ht="13.5" hidden="1" customHeight="1" x14ac:dyDescent="0.2">
      <c r="A18" s="6" t="s">
        <v>24</v>
      </c>
      <c r="B18" s="29"/>
      <c r="C18" s="71">
        <v>0</v>
      </c>
      <c r="D18" s="3"/>
      <c r="F18" s="185"/>
      <c r="G18" s="185"/>
    </row>
    <row r="19" spans="1:7" ht="13.5" customHeight="1" x14ac:dyDescent="0.2">
      <c r="A19" s="6" t="s">
        <v>26</v>
      </c>
      <c r="B19" s="72">
        <f>94661+379</f>
        <v>95040</v>
      </c>
      <c r="C19" s="73">
        <v>70426</v>
      </c>
      <c r="D19" s="99"/>
      <c r="F19" s="185"/>
      <c r="G19" s="185"/>
    </row>
    <row r="20" spans="1:7" ht="13.5" customHeight="1" x14ac:dyDescent="0.2">
      <c r="A20" s="6" t="s">
        <v>27</v>
      </c>
      <c r="B20" s="155">
        <f>SUM(B11:B19)</f>
        <v>877417</v>
      </c>
      <c r="C20" s="71">
        <f>SUM(C11:C19)</f>
        <v>830994</v>
      </c>
      <c r="D20" s="99"/>
      <c r="F20" s="185"/>
      <c r="G20" s="185"/>
    </row>
    <row r="21" spans="1:7" ht="13.5" customHeight="1" x14ac:dyDescent="0.2">
      <c r="A21" s="3"/>
      <c r="B21" s="139"/>
      <c r="C21" s="70"/>
      <c r="D21" s="3"/>
      <c r="F21" s="185"/>
      <c r="G21" s="185"/>
    </row>
    <row r="22" spans="1:7" ht="13.5" customHeight="1" x14ac:dyDescent="0.2">
      <c r="A22" s="5" t="s">
        <v>28</v>
      </c>
      <c r="B22" s="107">
        <v>919613</v>
      </c>
      <c r="C22" s="71">
        <v>955948</v>
      </c>
      <c r="D22" s="3"/>
      <c r="E22" s="103"/>
      <c r="F22" s="185"/>
      <c r="G22" s="185"/>
    </row>
    <row r="23" spans="1:7" ht="13.5" customHeight="1" x14ac:dyDescent="0.2">
      <c r="A23" s="3"/>
      <c r="B23" s="139"/>
      <c r="C23" s="70"/>
      <c r="D23" s="3"/>
    </row>
    <row r="24" spans="1:7" ht="13.5" customHeight="1" x14ac:dyDescent="0.2">
      <c r="A24" s="5" t="s">
        <v>29</v>
      </c>
      <c r="B24" s="139"/>
      <c r="C24" s="70"/>
      <c r="D24" s="3"/>
    </row>
    <row r="25" spans="1:7" ht="13.5" customHeight="1" x14ac:dyDescent="0.2">
      <c r="A25" s="6" t="s">
        <v>30</v>
      </c>
      <c r="B25" s="29">
        <v>105325</v>
      </c>
      <c r="C25" s="71">
        <v>106107</v>
      </c>
      <c r="D25" s="3"/>
    </row>
    <row r="26" spans="1:7" ht="13.5" customHeight="1" x14ac:dyDescent="0.2">
      <c r="A26" s="6" t="s">
        <v>31</v>
      </c>
      <c r="B26" s="72">
        <f>42277+1+4680+48309</f>
        <v>95267</v>
      </c>
      <c r="C26" s="73">
        <v>86583</v>
      </c>
      <c r="D26" s="3"/>
    </row>
    <row r="27" spans="1:7" ht="13.5" customHeight="1" x14ac:dyDescent="0.2">
      <c r="A27" s="9" t="s">
        <v>32</v>
      </c>
      <c r="B27" s="73">
        <f>SUM(B25:B26)</f>
        <v>200592</v>
      </c>
      <c r="C27" s="73">
        <f>SUM(C25:C26)</f>
        <v>192690</v>
      </c>
      <c r="D27" s="3"/>
    </row>
    <row r="28" spans="1:7" ht="13.5" customHeight="1" thickBot="1" x14ac:dyDescent="0.25">
      <c r="A28" s="10" t="s">
        <v>33</v>
      </c>
      <c r="B28" s="74">
        <f>+B27+B22+B20</f>
        <v>1997622</v>
      </c>
      <c r="C28" s="74">
        <f>+C20+C22+C27</f>
        <v>1979632</v>
      </c>
      <c r="D28" s="3"/>
    </row>
    <row r="29" spans="1:7" ht="13.5" customHeight="1" thickTop="1" x14ac:dyDescent="0.2">
      <c r="A29" s="3"/>
      <c r="B29" s="139"/>
      <c r="C29" s="70"/>
      <c r="D29" s="3"/>
    </row>
    <row r="30" spans="1:7" ht="13.5" customHeight="1" x14ac:dyDescent="0.2">
      <c r="A30" s="5" t="s">
        <v>98</v>
      </c>
      <c r="B30" s="139"/>
      <c r="C30" s="70"/>
      <c r="D30" s="3"/>
    </row>
    <row r="31" spans="1:7" ht="13.5" customHeight="1" x14ac:dyDescent="0.2">
      <c r="A31" s="127" t="s">
        <v>80</v>
      </c>
      <c r="B31" s="139"/>
      <c r="C31" s="70"/>
      <c r="D31" s="3"/>
    </row>
    <row r="32" spans="1:7" ht="13.5" customHeight="1" x14ac:dyDescent="0.2">
      <c r="A32" s="6" t="s">
        <v>34</v>
      </c>
      <c r="B32" s="145">
        <f>119614+15</f>
        <v>119629</v>
      </c>
      <c r="C32" s="69">
        <v>134137</v>
      </c>
      <c r="D32" s="3"/>
    </row>
    <row r="33" spans="1:6" ht="13.5" customHeight="1" x14ac:dyDescent="0.2">
      <c r="A33" s="6" t="s">
        <v>35</v>
      </c>
      <c r="B33" s="29">
        <f>203620+47</f>
        <v>203667</v>
      </c>
      <c r="C33" s="71">
        <v>184161</v>
      </c>
      <c r="D33" s="3"/>
    </row>
    <row r="34" spans="1:6" ht="13.5" customHeight="1" x14ac:dyDescent="0.2">
      <c r="A34" s="6" t="s">
        <v>36</v>
      </c>
      <c r="B34" s="73">
        <v>11478</v>
      </c>
      <c r="C34" s="73">
        <v>15783</v>
      </c>
      <c r="D34" s="3"/>
    </row>
    <row r="35" spans="1:6" ht="13.5" customHeight="1" x14ac:dyDescent="0.2">
      <c r="A35" s="9" t="s">
        <v>37</v>
      </c>
      <c r="B35" s="107">
        <f>SUM(B32:B34)</f>
        <v>334774</v>
      </c>
      <c r="C35" s="71">
        <f>SUM(C32:C34)</f>
        <v>334081</v>
      </c>
      <c r="D35" s="3"/>
    </row>
    <row r="36" spans="1:6" ht="13.5" customHeight="1" x14ac:dyDescent="0.2">
      <c r="A36" s="6" t="s">
        <v>38</v>
      </c>
      <c r="B36" s="107">
        <v>302830</v>
      </c>
      <c r="C36" s="71">
        <v>310134</v>
      </c>
      <c r="D36" s="3"/>
    </row>
    <row r="37" spans="1:6" ht="13.5" customHeight="1" x14ac:dyDescent="0.2">
      <c r="A37" s="6" t="s">
        <v>39</v>
      </c>
      <c r="B37" s="29">
        <v>319601</v>
      </c>
      <c r="C37" s="71">
        <v>308855</v>
      </c>
      <c r="D37" s="3"/>
    </row>
    <row r="38" spans="1:6" ht="13.5" customHeight="1" x14ac:dyDescent="0.2">
      <c r="A38" s="6" t="s">
        <v>40</v>
      </c>
      <c r="B38" s="107">
        <v>5101</v>
      </c>
      <c r="C38" s="71">
        <v>14036</v>
      </c>
      <c r="D38" s="3"/>
    </row>
    <row r="39" spans="1:6" ht="13.5" customHeight="1" x14ac:dyDescent="0.2">
      <c r="A39" s="6" t="s">
        <v>41</v>
      </c>
      <c r="B39" s="107">
        <v>105400</v>
      </c>
      <c r="C39" s="71">
        <v>102369</v>
      </c>
      <c r="D39" s="3"/>
    </row>
    <row r="40" spans="1:6" ht="13.5" customHeight="1" x14ac:dyDescent="0.2">
      <c r="A40" s="6" t="s">
        <v>42</v>
      </c>
      <c r="B40" s="107">
        <v>180880</v>
      </c>
      <c r="C40" s="71">
        <v>184835</v>
      </c>
      <c r="D40" s="3"/>
    </row>
    <row r="41" spans="1:6" ht="13.5" hidden="1" customHeight="1" x14ac:dyDescent="0.2">
      <c r="A41" s="6" t="s">
        <v>25</v>
      </c>
      <c r="B41" s="107"/>
      <c r="C41" s="71">
        <v>0</v>
      </c>
      <c r="D41" s="3"/>
    </row>
    <row r="42" spans="1:6" ht="13.5" customHeight="1" x14ac:dyDescent="0.2">
      <c r="A42" s="6" t="s">
        <v>43</v>
      </c>
      <c r="B42" s="72">
        <f>61872+21+3</f>
        <v>61896</v>
      </c>
      <c r="C42" s="73">
        <v>59457</v>
      </c>
      <c r="D42" s="3"/>
    </row>
    <row r="43" spans="1:6" ht="13.5" customHeight="1" x14ac:dyDescent="0.2">
      <c r="A43" s="9" t="s">
        <v>81</v>
      </c>
      <c r="B43" s="107">
        <f>SUM(B35:B42)</f>
        <v>1310482</v>
      </c>
      <c r="C43" s="71">
        <f>SUM(C35:C42)</f>
        <v>1313767</v>
      </c>
      <c r="D43" s="11"/>
    </row>
    <row r="44" spans="1:6" ht="13.5" customHeight="1" x14ac:dyDescent="0.2">
      <c r="A44" s="3"/>
      <c r="B44" s="139"/>
      <c r="C44" s="70"/>
      <c r="D44" s="3"/>
    </row>
    <row r="45" spans="1:6" ht="13.5" customHeight="1" x14ac:dyDescent="0.2">
      <c r="A45" s="5" t="s">
        <v>97</v>
      </c>
      <c r="B45" s="139"/>
      <c r="C45" s="70"/>
      <c r="D45" s="3"/>
    </row>
    <row r="46" spans="1:6" ht="13.5" customHeight="1" x14ac:dyDescent="0.2">
      <c r="A46" s="6" t="s">
        <v>44</v>
      </c>
      <c r="B46" s="107">
        <v>250</v>
      </c>
      <c r="C46" s="71">
        <v>250</v>
      </c>
      <c r="D46" s="3"/>
    </row>
    <row r="47" spans="1:6" ht="13.5" customHeight="1" x14ac:dyDescent="0.2">
      <c r="A47" s="6" t="s">
        <v>45</v>
      </c>
      <c r="B47" s="107">
        <v>712295</v>
      </c>
      <c r="C47" s="71">
        <v>700125</v>
      </c>
      <c r="D47" s="3"/>
    </row>
    <row r="48" spans="1:6" ht="13.5" customHeight="1" x14ac:dyDescent="0.2">
      <c r="A48" s="6" t="s">
        <v>107</v>
      </c>
      <c r="B48" s="29">
        <v>449122</v>
      </c>
      <c r="C48" s="71">
        <v>247232</v>
      </c>
      <c r="D48" s="11"/>
      <c r="F48" s="141"/>
    </row>
    <row r="49" spans="1:7" s="170" customFormat="1" ht="13.5" customHeight="1" x14ac:dyDescent="0.2">
      <c r="A49" s="6" t="s">
        <v>108</v>
      </c>
      <c r="B49" s="29">
        <v>-495232</v>
      </c>
      <c r="C49" s="71">
        <v>-302109</v>
      </c>
      <c r="D49" s="11"/>
      <c r="E49" s="100"/>
      <c r="F49" s="141"/>
    </row>
    <row r="50" spans="1:7" ht="13.5" customHeight="1" x14ac:dyDescent="0.2">
      <c r="A50" s="6" t="s">
        <v>103</v>
      </c>
      <c r="B50" s="73">
        <v>20705</v>
      </c>
      <c r="C50" s="73">
        <v>20367</v>
      </c>
      <c r="D50" s="99"/>
    </row>
    <row r="51" spans="1:7" ht="13.5" customHeight="1" x14ac:dyDescent="0.2">
      <c r="A51" s="9" t="s">
        <v>104</v>
      </c>
      <c r="B51" s="75">
        <f>SUM(B46:B50)</f>
        <v>687140</v>
      </c>
      <c r="C51" s="75">
        <f>SUM(C46:C50)</f>
        <v>665865</v>
      </c>
      <c r="D51" s="3"/>
    </row>
    <row r="52" spans="1:7" ht="13.5" customHeight="1" thickBot="1" x14ac:dyDescent="0.25">
      <c r="A52" s="10" t="s">
        <v>105</v>
      </c>
      <c r="B52" s="74">
        <f>+B43+B51</f>
        <v>1997622</v>
      </c>
      <c r="C52" s="74">
        <f>+C43+C51</f>
        <v>1979632</v>
      </c>
      <c r="D52" s="3"/>
    </row>
    <row r="53" spans="1:7" ht="13.5" customHeight="1" thickTop="1" x14ac:dyDescent="0.2">
      <c r="A53" s="3"/>
      <c r="B53" s="3"/>
      <c r="C53" s="3"/>
      <c r="D53" s="3"/>
    </row>
    <row r="54" spans="1:7" ht="13.5" customHeight="1" x14ac:dyDescent="0.2">
      <c r="B54" s="42"/>
      <c r="C54" s="42"/>
    </row>
    <row r="55" spans="1:7" ht="13.5" customHeight="1" x14ac:dyDescent="0.2">
      <c r="B55" s="113"/>
      <c r="C55" s="42"/>
      <c r="E55" s="100" t="s">
        <v>112</v>
      </c>
      <c r="F55" s="113">
        <f>C48</f>
        <v>247232</v>
      </c>
    </row>
    <row r="56" spans="1:7" ht="13.5" customHeight="1" x14ac:dyDescent="0.2">
      <c r="B56" s="42"/>
      <c r="E56" s="100" t="s">
        <v>113</v>
      </c>
      <c r="F56" s="113">
        <f>'Statements of Operations'!E41</f>
        <v>226483</v>
      </c>
    </row>
    <row r="57" spans="1:7" ht="13.5" customHeight="1" x14ac:dyDescent="0.2">
      <c r="B57" s="42"/>
      <c r="E57" s="100" t="s">
        <v>114</v>
      </c>
      <c r="F57" s="183">
        <f>-F61-F62</f>
        <v>-24593</v>
      </c>
      <c r="G57" s="100"/>
    </row>
    <row r="58" spans="1:7" ht="13.5" customHeight="1" x14ac:dyDescent="0.2">
      <c r="B58" s="42"/>
      <c r="F58" s="113"/>
    </row>
    <row r="59" spans="1:7" ht="13.5" customHeight="1" thickBot="1" x14ac:dyDescent="0.25">
      <c r="F59" s="184">
        <f>SUM(F55:F58)</f>
        <v>449122</v>
      </c>
    </row>
    <row r="60" spans="1:7" ht="13.5" customHeight="1" thickTop="1" x14ac:dyDescent="0.2">
      <c r="F60" s="113"/>
    </row>
    <row r="61" spans="1:7" ht="13.5" customHeight="1" x14ac:dyDescent="0.2">
      <c r="E61" s="100" t="s">
        <v>50</v>
      </c>
      <c r="F61" s="113">
        <f>16333+7633</f>
        <v>23966</v>
      </c>
    </row>
    <row r="62" spans="1:7" ht="13.5" customHeight="1" x14ac:dyDescent="0.2">
      <c r="E62" s="100" t="s">
        <v>115</v>
      </c>
      <c r="F62" s="42">
        <v>627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93"/>
  <sheetViews>
    <sheetView workbookViewId="0">
      <selection activeCell="G20" sqref="G20"/>
    </sheetView>
  </sheetViews>
  <sheetFormatPr defaultColWidth="21.5" defaultRowHeight="12.75" x14ac:dyDescent="0.2"/>
  <cols>
    <col min="1" max="1" width="75.6640625" style="23" customWidth="1"/>
    <col min="2" max="2" width="17.5" style="23" customWidth="1"/>
    <col min="3" max="3" width="17.5" style="38" customWidth="1"/>
    <col min="4" max="4" width="21.5" style="23" customWidth="1"/>
    <col min="5" max="5" width="25.83203125" style="23" hidden="1" customWidth="1"/>
    <col min="6" max="6" width="25.83203125" style="290" hidden="1" customWidth="1"/>
    <col min="7" max="16384" width="21.5" style="23"/>
  </cols>
  <sheetData>
    <row r="1" spans="1:21" ht="14.25" customHeight="1" x14ac:dyDescent="0.25">
      <c r="A1" s="305" t="s">
        <v>0</v>
      </c>
      <c r="B1" s="307"/>
      <c r="C1" s="307"/>
      <c r="D1" s="21"/>
      <c r="E1" s="21"/>
      <c r="F1" s="289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4.25" customHeight="1" x14ac:dyDescent="0.25">
      <c r="A2" s="305" t="s">
        <v>67</v>
      </c>
      <c r="B2" s="307"/>
      <c r="C2" s="307"/>
      <c r="D2" s="21"/>
      <c r="E2" s="21"/>
      <c r="F2" s="289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4.25" customHeight="1" x14ac:dyDescent="0.25">
      <c r="A3" s="305" t="s">
        <v>15</v>
      </c>
      <c r="B3" s="307"/>
      <c r="C3" s="307"/>
      <c r="D3" s="21"/>
      <c r="E3" s="21"/>
      <c r="F3" s="289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6.75" customHeight="1" x14ac:dyDescent="0.2">
      <c r="A4" s="22"/>
      <c r="B4" s="21"/>
      <c r="C4" s="25"/>
      <c r="D4" s="21"/>
      <c r="E4" s="21"/>
      <c r="F4" s="289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.75" customHeight="1" x14ac:dyDescent="0.2">
      <c r="A5" s="21"/>
      <c r="B5" s="21"/>
      <c r="C5" s="25"/>
      <c r="D5" s="21"/>
      <c r="E5" s="21"/>
      <c r="F5" s="289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13.5" customHeight="1" x14ac:dyDescent="0.2">
      <c r="A6" s="21"/>
      <c r="B6" s="303" t="s">
        <v>204</v>
      </c>
      <c r="C6" s="303"/>
      <c r="D6" s="21"/>
      <c r="E6" s="292" t="s">
        <v>212</v>
      </c>
      <c r="F6" s="292" t="s">
        <v>201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x14ac:dyDescent="0.2">
      <c r="A7" s="21"/>
      <c r="B7" s="148">
        <v>2018</v>
      </c>
      <c r="C7" s="262">
        <v>2017</v>
      </c>
      <c r="D7" s="21"/>
      <c r="E7" s="291" t="s">
        <v>202</v>
      </c>
      <c r="F7" s="291" t="s">
        <v>213</v>
      </c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3.5" customHeight="1" x14ac:dyDescent="0.2">
      <c r="A8" s="21"/>
      <c r="B8" s="308" t="s">
        <v>3</v>
      </c>
      <c r="C8" s="308"/>
      <c r="D8" s="21"/>
      <c r="E8" s="21"/>
      <c r="F8" s="289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3.5" customHeight="1" x14ac:dyDescent="0.2">
      <c r="A9" s="24" t="s">
        <v>66</v>
      </c>
      <c r="B9" s="25"/>
      <c r="C9" s="25"/>
      <c r="D9" s="21"/>
      <c r="E9" s="21"/>
      <c r="F9" s="289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3.5" customHeight="1" x14ac:dyDescent="0.2">
      <c r="A10" s="20" t="s">
        <v>119</v>
      </c>
      <c r="B10" s="154">
        <f>'Statements of Operations'!E41</f>
        <v>226483</v>
      </c>
      <c r="C10" s="154">
        <f>'Statements of Operations'!F41</f>
        <v>157179</v>
      </c>
      <c r="D10" s="11"/>
      <c r="E10" s="154">
        <v>103291</v>
      </c>
      <c r="F10" s="154">
        <f>B10-E10</f>
        <v>123192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3.5" customHeight="1" x14ac:dyDescent="0.2">
      <c r="A11" s="20" t="s">
        <v>195</v>
      </c>
      <c r="B11" s="116"/>
      <c r="C11" s="116"/>
      <c r="D11" s="21"/>
      <c r="E11" s="116"/>
      <c r="F11" s="116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3.5" customHeight="1" x14ac:dyDescent="0.2">
      <c r="A12" s="6" t="s">
        <v>7</v>
      </c>
      <c r="B12" s="29">
        <f>'Statements of Operations'!E14</f>
        <v>92027</v>
      </c>
      <c r="C12" s="29">
        <f>'Statements of Operations'!F14</f>
        <v>94536</v>
      </c>
      <c r="D12" s="21"/>
      <c r="E12" s="29">
        <v>60252</v>
      </c>
      <c r="F12" s="29">
        <f>B12-E12</f>
        <v>31775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125" customFormat="1" ht="13.5" customHeight="1" x14ac:dyDescent="0.2">
      <c r="A13" s="6" t="s">
        <v>83</v>
      </c>
      <c r="B13" s="29">
        <f>'Statements of Operations'!E15</f>
        <v>20977</v>
      </c>
      <c r="C13" s="29">
        <f>'Statements of Operations'!F15</f>
        <v>22826</v>
      </c>
      <c r="D13" s="124"/>
      <c r="E13" s="29">
        <v>13985</v>
      </c>
      <c r="F13" s="29">
        <f t="shared" ref="F13:F20" si="0">B13-E13</f>
        <v>6992</v>
      </c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</row>
    <row r="14" spans="1:21" ht="13.5" customHeight="1" x14ac:dyDescent="0.2">
      <c r="A14" s="6" t="s">
        <v>85</v>
      </c>
      <c r="B14" s="29">
        <f>'Statements of Operations'!E16</f>
        <v>9540</v>
      </c>
      <c r="C14" s="29">
        <f>'Statements of Operations'!F16</f>
        <v>42903</v>
      </c>
      <c r="D14" s="21"/>
      <c r="E14" s="29">
        <v>6299</v>
      </c>
      <c r="F14" s="29">
        <f t="shared" si="0"/>
        <v>3241</v>
      </c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3.5" customHeight="1" x14ac:dyDescent="0.2">
      <c r="A15" s="6" t="s">
        <v>65</v>
      </c>
      <c r="B15" s="29">
        <v>134</v>
      </c>
      <c r="C15" s="29">
        <v>2905</v>
      </c>
      <c r="D15" s="11"/>
      <c r="E15" s="29">
        <v>0</v>
      </c>
      <c r="F15" s="29">
        <f t="shared" si="0"/>
        <v>134</v>
      </c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87" customFormat="1" ht="13.5" customHeight="1" x14ac:dyDescent="0.2">
      <c r="A16" s="6" t="s">
        <v>25</v>
      </c>
      <c r="B16" s="29">
        <v>-22999</v>
      </c>
      <c r="C16" s="29">
        <v>6069</v>
      </c>
      <c r="D16" s="11"/>
      <c r="E16" s="29">
        <v>8730</v>
      </c>
      <c r="F16" s="29">
        <f t="shared" si="0"/>
        <v>-31729</v>
      </c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</row>
    <row r="17" spans="1:21" ht="13.5" customHeight="1" x14ac:dyDescent="0.2">
      <c r="A17" s="6" t="s">
        <v>64</v>
      </c>
      <c r="B17" s="29">
        <v>12161</v>
      </c>
      <c r="C17" s="29">
        <v>7485</v>
      </c>
      <c r="D17" s="21"/>
      <c r="E17" s="29">
        <v>7992</v>
      </c>
      <c r="F17" s="29">
        <f t="shared" si="0"/>
        <v>4169</v>
      </c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87" customFormat="1" ht="13.5" customHeight="1" x14ac:dyDescent="0.2">
      <c r="A18" s="6" t="s">
        <v>63</v>
      </c>
      <c r="B18" s="29">
        <v>-54</v>
      </c>
      <c r="C18" s="29">
        <v>-23006</v>
      </c>
      <c r="D18" s="86"/>
      <c r="E18" s="29">
        <v>131</v>
      </c>
      <c r="F18" s="29">
        <f t="shared" si="0"/>
        <v>-185</v>
      </c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</row>
    <row r="19" spans="1:21" s="102" customFormat="1" ht="13.5" customHeight="1" x14ac:dyDescent="0.2">
      <c r="A19" s="55" t="s">
        <v>76</v>
      </c>
      <c r="B19" s="29">
        <v>485</v>
      </c>
      <c r="C19" s="29">
        <v>2547</v>
      </c>
      <c r="D19" s="101"/>
      <c r="E19" s="29">
        <v>485</v>
      </c>
      <c r="F19" s="29">
        <f t="shared" si="0"/>
        <v>0</v>
      </c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3.5" customHeight="1" x14ac:dyDescent="0.2">
      <c r="A20" s="6" t="s">
        <v>62</v>
      </c>
      <c r="B20" s="29">
        <v>3300</v>
      </c>
      <c r="C20" s="29">
        <v>2628</v>
      </c>
      <c r="D20" s="21"/>
      <c r="E20" s="29">
        <v>2170</v>
      </c>
      <c r="F20" s="29">
        <f t="shared" si="0"/>
        <v>1130</v>
      </c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87" customFormat="1" ht="13.5" hidden="1" customHeight="1" x14ac:dyDescent="0.2">
      <c r="A21" s="6" t="s">
        <v>76</v>
      </c>
      <c r="B21" s="29"/>
      <c r="C21" s="29"/>
      <c r="D21" s="86"/>
      <c r="E21" s="29"/>
      <c r="F21" s="29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</row>
    <row r="22" spans="1:21" ht="13.5" customHeight="1" x14ac:dyDescent="0.2">
      <c r="A22" s="6" t="s">
        <v>61</v>
      </c>
      <c r="B22" s="116"/>
      <c r="C22" s="116"/>
      <c r="D22" s="21"/>
      <c r="E22" s="116"/>
      <c r="F22" s="116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ht="13.5" customHeight="1" x14ac:dyDescent="0.2">
      <c r="A23" s="9" t="s">
        <v>60</v>
      </c>
      <c r="B23" s="29">
        <v>-5983</v>
      </c>
      <c r="C23" s="29">
        <v>-24110</v>
      </c>
      <c r="D23" s="21"/>
      <c r="E23" s="29">
        <v>-20212</v>
      </c>
      <c r="F23" s="29">
        <f t="shared" ref="F23:F27" si="1">B23-E23</f>
        <v>14229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3.5" customHeight="1" x14ac:dyDescent="0.2">
      <c r="A24" s="9" t="s">
        <v>22</v>
      </c>
      <c r="B24" s="29">
        <v>-34918</v>
      </c>
      <c r="C24" s="29">
        <v>-13102</v>
      </c>
      <c r="D24" s="21"/>
      <c r="E24" s="29">
        <v>-28245</v>
      </c>
      <c r="F24" s="29">
        <f t="shared" si="1"/>
        <v>-6673</v>
      </c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ht="13.5" customHeight="1" x14ac:dyDescent="0.2">
      <c r="A25" s="9" t="s">
        <v>59</v>
      </c>
      <c r="B25" s="29">
        <v>-24762</v>
      </c>
      <c r="C25" s="29">
        <v>5103</v>
      </c>
      <c r="D25" s="11"/>
      <c r="E25" s="29">
        <v>-11879</v>
      </c>
      <c r="F25" s="29">
        <f t="shared" si="1"/>
        <v>-12883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89" customFormat="1" ht="13.5" customHeight="1" x14ac:dyDescent="0.2">
      <c r="A26" s="9" t="s">
        <v>99</v>
      </c>
      <c r="B26" s="29">
        <f>-1931-11</f>
        <v>-1942</v>
      </c>
      <c r="C26" s="29">
        <v>-2430</v>
      </c>
      <c r="D26" s="11"/>
      <c r="E26" s="29">
        <v>11560</v>
      </c>
      <c r="F26" s="29">
        <f t="shared" si="1"/>
        <v>-13502</v>
      </c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</row>
    <row r="27" spans="1:21" ht="13.5" customHeight="1" x14ac:dyDescent="0.2">
      <c r="A27" s="32" t="s">
        <v>49</v>
      </c>
      <c r="B27" s="29">
        <f>142+273-639-5718+8317+20606-10232-3954+3031-20163+3</f>
        <v>-8334</v>
      </c>
      <c r="C27" s="29">
        <v>20612</v>
      </c>
      <c r="D27" s="11"/>
      <c r="E27" s="29">
        <v>-9563</v>
      </c>
      <c r="F27" s="29">
        <f t="shared" si="1"/>
        <v>1229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ht="13.5" customHeight="1" x14ac:dyDescent="0.2">
      <c r="A28" s="28" t="s">
        <v>168</v>
      </c>
      <c r="B28" s="76">
        <f>SUM(B10:B27)</f>
        <v>266115</v>
      </c>
      <c r="C28" s="76">
        <f>SUM(C10:C27)</f>
        <v>302145</v>
      </c>
      <c r="D28" s="7"/>
      <c r="E28" s="76">
        <f>SUM(E10:E27)</f>
        <v>144996</v>
      </c>
      <c r="F28" s="76">
        <f>SUM(F10:F27)</f>
        <v>121119</v>
      </c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ht="13.5" customHeight="1" x14ac:dyDescent="0.2">
      <c r="A29" s="21"/>
      <c r="B29" s="214"/>
      <c r="C29" s="214"/>
      <c r="D29" s="21"/>
      <c r="E29" s="214"/>
      <c r="F29" s="214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ht="13.5" customHeight="1" x14ac:dyDescent="0.2">
      <c r="A30" s="24" t="s">
        <v>58</v>
      </c>
      <c r="B30" s="116"/>
      <c r="C30" s="116"/>
      <c r="D30" s="21"/>
      <c r="E30" s="116"/>
      <c r="F30" s="116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ht="13.5" customHeight="1" x14ac:dyDescent="0.2">
      <c r="A31" s="6" t="s">
        <v>57</v>
      </c>
      <c r="B31" s="29">
        <v>-55742</v>
      </c>
      <c r="C31" s="29">
        <v>-30503</v>
      </c>
      <c r="D31" s="21"/>
      <c r="E31" s="29">
        <v>-30049</v>
      </c>
      <c r="F31" s="29">
        <f t="shared" ref="F31:F36" si="2">B31-E31</f>
        <v>-25693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ht="13.5" customHeight="1" x14ac:dyDescent="0.2">
      <c r="A32" s="6" t="s">
        <v>82</v>
      </c>
      <c r="B32" s="29">
        <v>-522</v>
      </c>
      <c r="C32" s="29">
        <v>-5033</v>
      </c>
      <c r="D32" s="21"/>
      <c r="E32" s="29">
        <v>-124</v>
      </c>
      <c r="F32" s="29">
        <f t="shared" si="2"/>
        <v>-398</v>
      </c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ht="13.5" customHeight="1" x14ac:dyDescent="0.2">
      <c r="A33" s="6" t="s">
        <v>196</v>
      </c>
      <c r="B33" s="29">
        <v>512</v>
      </c>
      <c r="C33" s="29">
        <v>11432</v>
      </c>
      <c r="D33" s="21"/>
      <c r="E33" s="29">
        <v>56</v>
      </c>
      <c r="F33" s="29">
        <f t="shared" si="2"/>
        <v>456</v>
      </c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ht="13.5" customHeight="1" x14ac:dyDescent="0.2">
      <c r="A34" s="6" t="s">
        <v>56</v>
      </c>
      <c r="B34" s="29">
        <v>-140097</v>
      </c>
      <c r="C34" s="29">
        <v>-191327</v>
      </c>
      <c r="D34" s="21"/>
      <c r="E34" s="29">
        <v>-110359</v>
      </c>
      <c r="F34" s="29">
        <f t="shared" si="2"/>
        <v>-29738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ht="13.5" customHeight="1" x14ac:dyDescent="0.2">
      <c r="A35" s="6" t="s">
        <v>55</v>
      </c>
      <c r="B35" s="29">
        <v>133400</v>
      </c>
      <c r="C35" s="29">
        <v>123996</v>
      </c>
      <c r="D35" s="21"/>
      <c r="E35" s="29">
        <v>105150</v>
      </c>
      <c r="F35" s="29">
        <f t="shared" si="2"/>
        <v>28250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ht="13.5" customHeight="1" x14ac:dyDescent="0.2">
      <c r="A36" s="6" t="s">
        <v>54</v>
      </c>
      <c r="B36" s="72">
        <v>-1817</v>
      </c>
      <c r="C36" s="72">
        <v>-9216</v>
      </c>
      <c r="D36" s="21"/>
      <c r="E36" s="72">
        <v>0</v>
      </c>
      <c r="F36" s="72">
        <f t="shared" si="2"/>
        <v>-1817</v>
      </c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ht="13.5" customHeight="1" x14ac:dyDescent="0.2">
      <c r="A37" s="28" t="s">
        <v>199</v>
      </c>
      <c r="B37" s="29">
        <f>SUM(B31:B36)</f>
        <v>-64266</v>
      </c>
      <c r="C37" s="29">
        <f>SUM(C31:C36)</f>
        <v>-100651</v>
      </c>
      <c r="D37" s="11"/>
      <c r="E37" s="29">
        <f>SUM(E31:E36)</f>
        <v>-35326</v>
      </c>
      <c r="F37" s="29">
        <f>SUM(F31:F36)</f>
        <v>-28940</v>
      </c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ht="13.5" customHeight="1" x14ac:dyDescent="0.2">
      <c r="A38" s="21"/>
      <c r="B38" s="116"/>
      <c r="C38" s="116"/>
      <c r="D38" s="21"/>
      <c r="E38" s="116"/>
      <c r="F38" s="116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3.5" customHeight="1" x14ac:dyDescent="0.2">
      <c r="A39" s="24" t="s">
        <v>53</v>
      </c>
      <c r="B39" s="116"/>
      <c r="C39" s="116"/>
      <c r="D39" s="21"/>
      <c r="E39" s="116"/>
      <c r="F39" s="116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164" customFormat="1" ht="13.5" customHeight="1" x14ac:dyDescent="0.2">
      <c r="A40" s="6" t="s">
        <v>102</v>
      </c>
      <c r="B40" s="29">
        <v>0</v>
      </c>
      <c r="C40" s="264">
        <v>298500</v>
      </c>
      <c r="D40" s="163"/>
      <c r="E40" s="29">
        <v>0</v>
      </c>
      <c r="F40" s="29">
        <f t="shared" ref="F40:F48" si="3">B40-E40</f>
        <v>0</v>
      </c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</row>
    <row r="41" spans="1:21" ht="13.5" customHeight="1" x14ac:dyDescent="0.2">
      <c r="A41" s="6" t="s">
        <v>101</v>
      </c>
      <c r="B41" s="29">
        <v>0</v>
      </c>
      <c r="C41" s="29">
        <v>-325684</v>
      </c>
      <c r="D41" s="21"/>
      <c r="E41" s="29">
        <v>0</v>
      </c>
      <c r="F41" s="29">
        <f t="shared" si="3"/>
        <v>0</v>
      </c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267" customFormat="1" ht="13.5" customHeight="1" x14ac:dyDescent="0.2">
      <c r="A42" s="6" t="s">
        <v>169</v>
      </c>
      <c r="B42" s="29">
        <v>-2250</v>
      </c>
      <c r="C42" s="29">
        <v>-1500</v>
      </c>
      <c r="D42" s="266"/>
      <c r="E42" s="29">
        <v>-1500</v>
      </c>
      <c r="F42" s="29">
        <f t="shared" si="3"/>
        <v>-750</v>
      </c>
      <c r="G42" s="266"/>
      <c r="H42" s="266"/>
      <c r="I42" s="266"/>
      <c r="J42" s="266"/>
      <c r="K42" s="266"/>
      <c r="L42" s="266"/>
      <c r="M42" s="266"/>
      <c r="N42" s="266"/>
      <c r="O42" s="266"/>
      <c r="P42" s="266"/>
      <c r="Q42" s="266"/>
      <c r="R42" s="266"/>
      <c r="S42" s="266"/>
      <c r="T42" s="266"/>
      <c r="U42" s="266"/>
    </row>
    <row r="43" spans="1:21" ht="13.5" customHeight="1" x14ac:dyDescent="0.2">
      <c r="A43" s="6" t="s">
        <v>52</v>
      </c>
      <c r="B43" s="29">
        <v>-10286</v>
      </c>
      <c r="C43" s="29">
        <v>-5992</v>
      </c>
      <c r="D43" s="21"/>
      <c r="E43" s="29">
        <v>-7307</v>
      </c>
      <c r="F43" s="29">
        <f t="shared" si="3"/>
        <v>-2979</v>
      </c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125" customFormat="1" ht="13.5" customHeight="1" x14ac:dyDescent="0.2">
      <c r="A44" s="6" t="s">
        <v>51</v>
      </c>
      <c r="B44" s="29">
        <v>-1009</v>
      </c>
      <c r="C44" s="29">
        <v>-10043</v>
      </c>
      <c r="D44" s="124"/>
      <c r="E44" s="29">
        <v>-529</v>
      </c>
      <c r="F44" s="29">
        <f t="shared" si="3"/>
        <v>-480</v>
      </c>
      <c r="G44" s="124"/>
      <c r="H44" s="124"/>
      <c r="I44" s="124"/>
      <c r="J44" s="124"/>
      <c r="K44" s="124"/>
      <c r="L44" s="124"/>
      <c r="M44" s="124"/>
      <c r="N44" s="124"/>
      <c r="O44" s="124"/>
      <c r="P44" s="124"/>
      <c r="Q44" s="124"/>
      <c r="R44" s="124"/>
      <c r="S44" s="124"/>
      <c r="T44" s="124"/>
      <c r="U44" s="124"/>
    </row>
    <row r="45" spans="1:21" s="80" customFormat="1" ht="13.5" customHeight="1" x14ac:dyDescent="0.2">
      <c r="A45" s="55" t="s">
        <v>76</v>
      </c>
      <c r="B45" s="29">
        <v>-50</v>
      </c>
      <c r="C45" s="29">
        <v>-2360</v>
      </c>
      <c r="D45" s="79"/>
      <c r="E45" s="29">
        <v>-50</v>
      </c>
      <c r="F45" s="29">
        <f t="shared" si="3"/>
        <v>0</v>
      </c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</row>
    <row r="46" spans="1:21" ht="13.5" customHeight="1" x14ac:dyDescent="0.2">
      <c r="A46" s="6" t="s">
        <v>50</v>
      </c>
      <c r="B46" s="29">
        <v>-23966</v>
      </c>
      <c r="C46" s="29">
        <v>-16763</v>
      </c>
      <c r="D46" s="21"/>
      <c r="E46" s="29">
        <v>-16333</v>
      </c>
      <c r="F46" s="29">
        <f t="shared" si="3"/>
        <v>-7633</v>
      </c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34" customFormat="1" ht="13.5" customHeight="1" x14ac:dyDescent="0.2">
      <c r="A47" s="6" t="s">
        <v>109</v>
      </c>
      <c r="B47" s="29">
        <v>-192221</v>
      </c>
      <c r="C47" s="29">
        <v>-215735</v>
      </c>
      <c r="D47" s="33"/>
      <c r="E47" s="29">
        <v>-115973</v>
      </c>
      <c r="F47" s="29">
        <f t="shared" si="3"/>
        <v>-76248</v>
      </c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</row>
    <row r="48" spans="1:21" s="53" customFormat="1" ht="13.5" customHeight="1" x14ac:dyDescent="0.2">
      <c r="A48" s="6" t="s">
        <v>49</v>
      </c>
      <c r="B48" s="72">
        <v>10</v>
      </c>
      <c r="C48" s="72">
        <v>0</v>
      </c>
      <c r="D48" s="52"/>
      <c r="E48" s="72">
        <v>10</v>
      </c>
      <c r="F48" s="72">
        <f t="shared" si="3"/>
        <v>0</v>
      </c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</row>
    <row r="49" spans="1:21" ht="13.5" customHeight="1" x14ac:dyDescent="0.2">
      <c r="A49" s="9" t="s">
        <v>170</v>
      </c>
      <c r="B49" s="72">
        <f>SUM(B40:B48)</f>
        <v>-229772</v>
      </c>
      <c r="C49" s="72">
        <f>SUM(C40:C48)</f>
        <v>-279577</v>
      </c>
      <c r="D49" s="21"/>
      <c r="E49" s="72">
        <f>SUM(E40:E48)</f>
        <v>-141682</v>
      </c>
      <c r="F49" s="72">
        <f>SUM(F40:F48)</f>
        <v>-88090</v>
      </c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ht="13.5" customHeight="1" x14ac:dyDescent="0.2">
      <c r="A50" s="21"/>
      <c r="B50" s="116"/>
      <c r="C50" s="116"/>
      <c r="D50" s="21"/>
      <c r="E50" s="116"/>
      <c r="F50" s="116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ht="13.5" customHeight="1" x14ac:dyDescent="0.2">
      <c r="A51" s="20" t="s">
        <v>200</v>
      </c>
      <c r="B51" s="29">
        <f>+B49+B37+B28</f>
        <v>-27923</v>
      </c>
      <c r="C51" s="29">
        <f>C28+C37+C49</f>
        <v>-78083</v>
      </c>
      <c r="D51" s="21"/>
      <c r="E51" s="29">
        <f>+E49+E37+E28</f>
        <v>-32012</v>
      </c>
      <c r="F51" s="29">
        <f>+F49+F37+F28</f>
        <v>4089</v>
      </c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ht="13.5" customHeight="1" x14ac:dyDescent="0.2">
      <c r="A52" s="20" t="s">
        <v>182</v>
      </c>
      <c r="B52" s="72">
        <f>273387+215</f>
        <v>273602</v>
      </c>
      <c r="C52" s="72">
        <f>305372+71050</f>
        <v>376422</v>
      </c>
      <c r="D52" s="21"/>
      <c r="E52" s="72">
        <f>273387+215</f>
        <v>273602</v>
      </c>
      <c r="F52" s="72">
        <v>291258</v>
      </c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ht="13.5" customHeight="1" x14ac:dyDescent="0.2">
      <c r="A53" s="21"/>
      <c r="B53" s="116"/>
      <c r="C53" s="116"/>
      <c r="D53" s="21"/>
      <c r="E53" s="116"/>
      <c r="F53" s="116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ht="13.5" customHeight="1" thickBot="1" x14ac:dyDescent="0.25">
      <c r="A54" s="20" t="s">
        <v>183</v>
      </c>
      <c r="B54" s="65">
        <f>+B51+B52</f>
        <v>245679</v>
      </c>
      <c r="C54" s="65">
        <f>SUM(C51:C52)</f>
        <v>298339</v>
      </c>
      <c r="D54" s="21"/>
      <c r="E54" s="65">
        <f>+E51+E52</f>
        <v>241590</v>
      </c>
      <c r="F54" s="65">
        <f>+F51+F52</f>
        <v>295347</v>
      </c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ht="18.75" customHeight="1" thickTop="1" x14ac:dyDescent="0.2">
      <c r="A55" s="21"/>
      <c r="B55" s="66"/>
      <c r="C55" s="116"/>
      <c r="D55" s="21"/>
      <c r="E55" s="288"/>
      <c r="F55" s="288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ht="18.75" customHeight="1" x14ac:dyDescent="0.2">
      <c r="A56" s="268" t="s">
        <v>183</v>
      </c>
      <c r="B56" s="71"/>
      <c r="C56" s="107"/>
      <c r="D56" s="21"/>
      <c r="E56" s="71"/>
      <c r="F56" s="7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ht="18.75" customHeight="1" x14ac:dyDescent="0.2">
      <c r="A57" s="6" t="s">
        <v>18</v>
      </c>
      <c r="B57" s="81">
        <f>'Balance Sheet'!B11</f>
        <v>245679</v>
      </c>
      <c r="C57" s="219">
        <v>298337</v>
      </c>
      <c r="D57" s="21"/>
      <c r="E57" s="81">
        <v>241590</v>
      </c>
      <c r="F57" s="81">
        <v>241590</v>
      </c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ht="18.75" customHeight="1" x14ac:dyDescent="0.2">
      <c r="A58" s="6" t="s">
        <v>165</v>
      </c>
      <c r="B58" s="72">
        <v>0</v>
      </c>
      <c r="C58" s="269">
        <v>2</v>
      </c>
      <c r="D58" s="21"/>
      <c r="E58" s="72">
        <v>0</v>
      </c>
      <c r="F58" s="72">
        <v>0</v>
      </c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ht="13.5" customHeight="1" x14ac:dyDescent="0.2">
      <c r="A59" s="21"/>
      <c r="B59" s="81"/>
      <c r="C59" s="219"/>
      <c r="D59" s="21"/>
      <c r="E59" s="81"/>
      <c r="F59" s="8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ht="18.75" customHeight="1" thickBot="1" x14ac:dyDescent="0.25">
      <c r="A60" s="21"/>
      <c r="B60" s="270">
        <f>SUM(B57:B59)</f>
        <v>245679</v>
      </c>
      <c r="C60" s="270">
        <f>SUM(C57:C59)</f>
        <v>298339</v>
      </c>
      <c r="D60" s="21"/>
      <c r="E60" s="270">
        <f>SUM(E57:E59)</f>
        <v>241590</v>
      </c>
      <c r="F60" s="270">
        <f>SUM(F57:F59)</f>
        <v>241590</v>
      </c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ht="18.75" customHeight="1" thickTop="1" x14ac:dyDescent="0.2">
      <c r="A61" s="21"/>
      <c r="B61" s="66"/>
      <c r="C61" s="116"/>
      <c r="D61" s="21"/>
      <c r="E61" s="21"/>
      <c r="F61" s="289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ht="18.75" customHeight="1" x14ac:dyDescent="0.2">
      <c r="A62" s="21"/>
      <c r="B62" s="66"/>
      <c r="C62" s="116"/>
      <c r="D62" s="21"/>
      <c r="E62" s="21"/>
      <c r="F62" s="289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ht="18.75" customHeight="1" x14ac:dyDescent="0.2">
      <c r="A63" s="21"/>
      <c r="B63" s="66"/>
      <c r="C63" s="116"/>
      <c r="D63" s="21"/>
      <c r="E63" s="21"/>
      <c r="F63" s="289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ht="18.75" customHeight="1" x14ac:dyDescent="0.2">
      <c r="A64" s="21"/>
      <c r="B64" s="66"/>
      <c r="C64" s="116"/>
      <c r="D64" s="21"/>
      <c r="E64" s="21"/>
      <c r="F64" s="289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ht="18.75" customHeight="1" x14ac:dyDescent="0.2">
      <c r="A65" s="21"/>
      <c r="B65" s="66"/>
      <c r="C65" s="116"/>
      <c r="D65" s="21"/>
      <c r="E65" s="21"/>
      <c r="F65" s="289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ht="18.75" customHeight="1" x14ac:dyDescent="0.2">
      <c r="A66" s="21"/>
      <c r="B66" s="66"/>
      <c r="C66" s="116"/>
      <c r="D66" s="21"/>
      <c r="E66" s="21"/>
      <c r="F66" s="289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ht="18.75" customHeight="1" x14ac:dyDescent="0.2">
      <c r="A67" s="21"/>
      <c r="B67" s="66"/>
      <c r="C67" s="116"/>
      <c r="D67" s="21"/>
      <c r="E67" s="21"/>
      <c r="F67" s="289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ht="18.75" customHeight="1" x14ac:dyDescent="0.2">
      <c r="A68" s="21"/>
      <c r="B68" s="66"/>
      <c r="C68" s="116"/>
      <c r="D68" s="21"/>
      <c r="E68" s="21"/>
      <c r="F68" s="289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ht="18.75" customHeight="1" x14ac:dyDescent="0.2">
      <c r="A69" s="21"/>
      <c r="B69" s="66"/>
      <c r="C69" s="116"/>
      <c r="D69" s="21"/>
      <c r="E69" s="21"/>
      <c r="F69" s="289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ht="18.75" customHeight="1" x14ac:dyDescent="0.2">
      <c r="A70" s="21"/>
      <c r="B70" s="66"/>
      <c r="C70" s="116"/>
      <c r="D70" s="21"/>
      <c r="E70" s="21"/>
      <c r="F70" s="289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ht="18.75" customHeight="1" x14ac:dyDescent="0.2">
      <c r="A71" s="21"/>
      <c r="B71" s="66"/>
      <c r="C71" s="116"/>
      <c r="D71" s="21"/>
      <c r="E71" s="21"/>
      <c r="F71" s="289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ht="18.75" customHeight="1" x14ac:dyDescent="0.2">
      <c r="A72" s="21"/>
      <c r="B72" s="66"/>
      <c r="C72" s="116"/>
      <c r="D72" s="21"/>
      <c r="E72" s="21"/>
      <c r="F72" s="289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ht="18.75" customHeight="1" x14ac:dyDescent="0.2">
      <c r="A73" s="21"/>
      <c r="B73" s="21"/>
      <c r="C73" s="25"/>
      <c r="D73" s="21"/>
      <c r="E73" s="21"/>
      <c r="F73" s="289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ht="18.75" customHeight="1" x14ac:dyDescent="0.2">
      <c r="A74" s="21"/>
      <c r="B74" s="21"/>
      <c r="C74" s="25"/>
      <c r="D74" s="21"/>
      <c r="E74" s="21"/>
      <c r="F74" s="289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ht="18.75" customHeight="1" x14ac:dyDescent="0.2">
      <c r="A75" s="21"/>
      <c r="B75" s="21"/>
      <c r="C75" s="25"/>
      <c r="D75" s="21"/>
      <c r="E75" s="21"/>
      <c r="F75" s="289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ht="18.75" customHeight="1" x14ac:dyDescent="0.2">
      <c r="A76" s="21"/>
      <c r="B76" s="21"/>
      <c r="C76" s="25"/>
      <c r="D76" s="21"/>
      <c r="E76" s="21"/>
      <c r="F76" s="289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ht="18.75" customHeight="1" x14ac:dyDescent="0.2">
      <c r="A77" s="21"/>
      <c r="B77" s="21"/>
      <c r="C77" s="25"/>
      <c r="D77" s="21"/>
      <c r="E77" s="21"/>
      <c r="F77" s="289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ht="18.75" customHeight="1" x14ac:dyDescent="0.2">
      <c r="A78" s="21"/>
      <c r="B78" s="21"/>
      <c r="C78" s="25"/>
      <c r="D78" s="21"/>
      <c r="E78" s="21"/>
      <c r="F78" s="289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ht="18.75" customHeight="1" x14ac:dyDescent="0.2">
      <c r="A79" s="21"/>
      <c r="B79" s="21"/>
      <c r="C79" s="25"/>
      <c r="D79" s="21"/>
      <c r="E79" s="21"/>
      <c r="F79" s="289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ht="18.75" customHeight="1" x14ac:dyDescent="0.2">
      <c r="A80" s="21"/>
      <c r="B80" s="21"/>
      <c r="C80" s="25"/>
      <c r="D80" s="21"/>
      <c r="E80" s="21"/>
      <c r="F80" s="289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ht="18.75" customHeight="1" x14ac:dyDescent="0.2">
      <c r="A81" s="21"/>
      <c r="B81" s="21"/>
      <c r="C81" s="25"/>
      <c r="D81" s="21"/>
      <c r="E81" s="21"/>
      <c r="F81" s="289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ht="18.75" customHeight="1" x14ac:dyDescent="0.2">
      <c r="A82" s="21"/>
      <c r="B82" s="21"/>
      <c r="C82" s="25"/>
      <c r="D82" s="21"/>
      <c r="E82" s="21"/>
      <c r="F82" s="289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ht="18.75" customHeight="1" x14ac:dyDescent="0.2">
      <c r="A83" s="21"/>
      <c r="B83" s="21"/>
      <c r="C83" s="25"/>
      <c r="D83" s="21"/>
      <c r="E83" s="21"/>
      <c r="F83" s="289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ht="18.75" customHeight="1" x14ac:dyDescent="0.2">
      <c r="A84" s="21"/>
      <c r="B84" s="21"/>
      <c r="C84" s="25"/>
      <c r="D84" s="21"/>
      <c r="E84" s="21"/>
      <c r="F84" s="289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ht="18.75" customHeight="1" x14ac:dyDescent="0.2">
      <c r="A85" s="21"/>
      <c r="B85" s="21"/>
      <c r="C85" s="25"/>
      <c r="D85" s="21"/>
      <c r="E85" s="21"/>
      <c r="F85" s="289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ht="18.75" customHeight="1" x14ac:dyDescent="0.2">
      <c r="A86" s="21"/>
      <c r="B86" s="21"/>
      <c r="C86" s="25"/>
      <c r="D86" s="21"/>
      <c r="E86" s="21"/>
      <c r="F86" s="289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ht="18.75" customHeight="1" x14ac:dyDescent="0.2">
      <c r="A87" s="21"/>
      <c r="B87" s="21"/>
      <c r="C87" s="25"/>
      <c r="D87" s="21"/>
      <c r="E87" s="21"/>
      <c r="F87" s="289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ht="18.75" customHeight="1" x14ac:dyDescent="0.2">
      <c r="A88" s="21"/>
      <c r="B88" s="21"/>
      <c r="C88" s="25"/>
      <c r="D88" s="21"/>
      <c r="E88" s="21"/>
      <c r="F88" s="289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ht="18.75" customHeight="1" x14ac:dyDescent="0.2">
      <c r="A89" s="21"/>
      <c r="B89" s="21"/>
      <c r="C89" s="25"/>
      <c r="D89" s="21"/>
      <c r="E89" s="21"/>
      <c r="F89" s="289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ht="18.75" customHeight="1" x14ac:dyDescent="0.2">
      <c r="A90" s="21"/>
      <c r="B90" s="21"/>
      <c r="C90" s="25"/>
      <c r="D90" s="21"/>
      <c r="E90" s="21"/>
      <c r="F90" s="289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ht="18.75" customHeight="1" x14ac:dyDescent="0.2">
      <c r="A91" s="21"/>
      <c r="B91" s="21"/>
      <c r="C91" s="25"/>
      <c r="D91" s="21"/>
      <c r="E91" s="21"/>
      <c r="F91" s="289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ht="18.75" customHeight="1" x14ac:dyDescent="0.2">
      <c r="A92" s="21"/>
      <c r="B92" s="21"/>
      <c r="C92" s="25"/>
      <c r="D92" s="21"/>
      <c r="E92" s="21"/>
      <c r="F92" s="289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ht="18.75" customHeight="1" x14ac:dyDescent="0.2">
      <c r="A93" s="21"/>
      <c r="B93" s="21"/>
      <c r="C93" s="25"/>
      <c r="D93" s="21"/>
      <c r="E93" s="21"/>
      <c r="F93" s="289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</sheetData>
  <mergeCells count="5">
    <mergeCell ref="A1:C1"/>
    <mergeCell ref="A2:C2"/>
    <mergeCell ref="A3:C3"/>
    <mergeCell ref="B6:C6"/>
    <mergeCell ref="B8:C8"/>
  </mergeCells>
  <pageMargins left="0.7" right="0.7" top="0.75" bottom="0.75" header="0.3" footer="0.3"/>
  <pageSetup scale="83" orientation="portrait" r:id="rId1"/>
  <ignoredErrors>
    <ignoredError sqref="C51 C5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 fitToPage="1"/>
  </sheetPr>
  <dimension ref="A1:D95"/>
  <sheetViews>
    <sheetView workbookViewId="0">
      <selection activeCell="A10" sqref="A10"/>
    </sheetView>
  </sheetViews>
  <sheetFormatPr defaultColWidth="21.5" defaultRowHeight="12.75" x14ac:dyDescent="0.2"/>
  <cols>
    <col min="1" max="1" width="73" style="37" customWidth="1"/>
    <col min="2" max="2" width="2.1640625" style="37" customWidth="1"/>
    <col min="3" max="4" width="15.83203125" style="37" customWidth="1"/>
    <col min="5" max="16384" width="21.5" style="37"/>
  </cols>
  <sheetData>
    <row r="1" spans="1:4" ht="13.5" customHeight="1" x14ac:dyDescent="0.25">
      <c r="A1" s="309" t="s">
        <v>0</v>
      </c>
      <c r="B1" s="310"/>
      <c r="C1" s="310"/>
      <c r="D1" s="310"/>
    </row>
    <row r="2" spans="1:4" ht="13.5" customHeight="1" x14ac:dyDescent="0.25">
      <c r="A2" s="309" t="s">
        <v>69</v>
      </c>
      <c r="B2" s="310"/>
      <c r="C2" s="310"/>
      <c r="D2" s="310"/>
    </row>
    <row r="3" spans="1:4" ht="13.5" customHeight="1" x14ac:dyDescent="0.25">
      <c r="A3" s="309" t="s">
        <v>15</v>
      </c>
      <c r="B3" s="310"/>
      <c r="C3" s="310"/>
      <c r="D3" s="310"/>
    </row>
    <row r="4" spans="1:4" ht="6" customHeight="1" x14ac:dyDescent="0.2"/>
    <row r="5" spans="1:4" ht="18.75" customHeight="1" x14ac:dyDescent="0.2">
      <c r="A5" s="39"/>
      <c r="B5" s="39"/>
      <c r="C5" s="153" t="s">
        <v>205</v>
      </c>
      <c r="D5" s="131" t="s">
        <v>70</v>
      </c>
    </row>
    <row r="6" spans="1:4" ht="12.75" customHeight="1" x14ac:dyDescent="0.2">
      <c r="A6" s="39"/>
      <c r="B6" s="39"/>
      <c r="C6" s="148">
        <v>2018</v>
      </c>
      <c r="D6" s="40">
        <v>2017</v>
      </c>
    </row>
    <row r="7" spans="1:4" ht="18.75" customHeight="1" x14ac:dyDescent="0.2">
      <c r="A7" s="39"/>
      <c r="B7" s="39"/>
      <c r="C7" s="156" t="s">
        <v>3</v>
      </c>
      <c r="D7" s="130"/>
    </row>
    <row r="8" spans="1:4" ht="18.75" customHeight="1" x14ac:dyDescent="0.2">
      <c r="A8" s="39"/>
      <c r="B8" s="39"/>
      <c r="C8" s="157"/>
      <c r="D8" s="43"/>
    </row>
    <row r="9" spans="1:4" s="164" customFormat="1" ht="18.75" customHeight="1" x14ac:dyDescent="0.2">
      <c r="A9" s="163" t="s">
        <v>215</v>
      </c>
      <c r="B9" s="165"/>
      <c r="C9" s="158">
        <f>295077-750</f>
        <v>294327</v>
      </c>
      <c r="D9" s="151">
        <v>296435</v>
      </c>
    </row>
    <row r="10" spans="1:4" ht="13.5" customHeight="1" x14ac:dyDescent="0.2">
      <c r="A10" s="41" t="s">
        <v>49</v>
      </c>
      <c r="B10" s="39"/>
      <c r="C10" s="159">
        <v>26338</v>
      </c>
      <c r="D10" s="98">
        <v>36514</v>
      </c>
    </row>
    <row r="11" spans="1:4" s="93" customFormat="1" ht="13.5" customHeight="1" x14ac:dyDescent="0.2">
      <c r="A11" s="95" t="s">
        <v>78</v>
      </c>
      <c r="B11" s="94"/>
      <c r="C11" s="160">
        <v>-6357</v>
      </c>
      <c r="D11" s="47">
        <v>-7032</v>
      </c>
    </row>
    <row r="12" spans="1:4" ht="13.5" customHeight="1" x14ac:dyDescent="0.2">
      <c r="A12" s="39"/>
      <c r="B12" s="39"/>
      <c r="C12" s="45">
        <f>SUM(C9:C11)</f>
        <v>314308</v>
      </c>
      <c r="D12" s="45">
        <f>SUM(D9:D11)</f>
        <v>325917</v>
      </c>
    </row>
    <row r="13" spans="1:4" ht="13.5" customHeight="1" x14ac:dyDescent="0.2">
      <c r="A13" s="311" t="s">
        <v>71</v>
      </c>
      <c r="B13" s="312"/>
      <c r="C13" s="98">
        <v>11478</v>
      </c>
      <c r="D13" s="45">
        <v>15783</v>
      </c>
    </row>
    <row r="14" spans="1:4" ht="13.5" customHeight="1" thickBot="1" x14ac:dyDescent="0.25">
      <c r="A14" s="41" t="s">
        <v>38</v>
      </c>
      <c r="B14" s="39"/>
      <c r="C14" s="48">
        <f>C12-C13</f>
        <v>302830</v>
      </c>
      <c r="D14" s="48">
        <f>D12-D13</f>
        <v>310134</v>
      </c>
    </row>
    <row r="15" spans="1:4" ht="13.5" customHeight="1" thickTop="1" x14ac:dyDescent="0.2">
      <c r="A15" s="39"/>
      <c r="B15" s="39"/>
      <c r="C15" s="157"/>
      <c r="D15" s="106"/>
    </row>
    <row r="16" spans="1:4" ht="13.5" customHeight="1" x14ac:dyDescent="0.2">
      <c r="A16" s="41" t="s">
        <v>72</v>
      </c>
      <c r="C16" s="146"/>
      <c r="D16" s="46"/>
    </row>
    <row r="17" spans="1:4" ht="13.5" customHeight="1" x14ac:dyDescent="0.2">
      <c r="A17" s="95" t="s">
        <v>79</v>
      </c>
      <c r="C17" s="161">
        <f>C12-C11</f>
        <v>320665</v>
      </c>
      <c r="D17" s="44">
        <f>D12-D11</f>
        <v>332949</v>
      </c>
    </row>
    <row r="18" spans="1:4" ht="13.5" customHeight="1" x14ac:dyDescent="0.2">
      <c r="A18" s="41" t="s">
        <v>73</v>
      </c>
      <c r="C18" s="162"/>
      <c r="D18" s="46"/>
    </row>
    <row r="19" spans="1:4" ht="13.5" customHeight="1" x14ac:dyDescent="0.2">
      <c r="A19" s="41" t="s">
        <v>18</v>
      </c>
      <c r="C19" s="98">
        <f>'Balance Sheet'!B11</f>
        <v>245679</v>
      </c>
      <c r="D19" s="45">
        <f>'Balance Sheet'!C11</f>
        <v>273387</v>
      </c>
    </row>
    <row r="20" spans="1:4" ht="13.5" customHeight="1" x14ac:dyDescent="0.2">
      <c r="A20" s="41" t="s">
        <v>19</v>
      </c>
      <c r="C20" s="47">
        <f>'Balance Sheet'!B12</f>
        <v>162530</v>
      </c>
      <c r="D20" s="47">
        <f>'Balance Sheet'!C12</f>
        <v>155846</v>
      </c>
    </row>
    <row r="21" spans="1:4" ht="13.5" customHeight="1" x14ac:dyDescent="0.2">
      <c r="A21" s="39"/>
      <c r="C21" s="98">
        <f>+C19+C20</f>
        <v>408209</v>
      </c>
      <c r="D21" s="45">
        <f>+D19+D20</f>
        <v>429233</v>
      </c>
    </row>
    <row r="22" spans="1:4" ht="13.5" customHeight="1" thickBot="1" x14ac:dyDescent="0.25">
      <c r="A22" s="41" t="s">
        <v>74</v>
      </c>
      <c r="C22" s="48">
        <f>+C17-C21</f>
        <v>-87544</v>
      </c>
      <c r="D22" s="48">
        <f>+D17-D21</f>
        <v>-96284</v>
      </c>
    </row>
    <row r="23" spans="1:4" ht="18.75" customHeight="1" thickTop="1" x14ac:dyDescent="0.2">
      <c r="C23" s="46"/>
      <c r="D23" s="46"/>
    </row>
    <row r="24" spans="1:4" ht="18.75" customHeight="1" x14ac:dyDescent="0.2"/>
    <row r="25" spans="1:4" ht="18.75" customHeight="1" x14ac:dyDescent="0.2"/>
    <row r="26" spans="1:4" ht="18.75" customHeight="1" x14ac:dyDescent="0.2"/>
    <row r="27" spans="1:4" ht="18.75" customHeight="1" x14ac:dyDescent="0.2"/>
    <row r="28" spans="1:4" ht="18.75" customHeight="1" x14ac:dyDescent="0.2"/>
    <row r="29" spans="1:4" ht="18.75" customHeight="1" x14ac:dyDescent="0.2"/>
    <row r="30" spans="1:4" ht="18.75" customHeight="1" x14ac:dyDescent="0.2"/>
    <row r="31" spans="1:4" ht="18.75" customHeight="1" x14ac:dyDescent="0.2"/>
    <row r="32" spans="1:4" ht="18.75" customHeight="1" x14ac:dyDescent="0.2"/>
    <row r="33" ht="18.75" customHeight="1" x14ac:dyDescent="0.2"/>
    <row r="34" ht="18.75" customHeight="1" x14ac:dyDescent="0.2"/>
    <row r="35" ht="18.75" customHeight="1" x14ac:dyDescent="0.2"/>
    <row r="36" ht="18.75" customHeight="1" x14ac:dyDescent="0.2"/>
    <row r="37" ht="18.75" customHeight="1" x14ac:dyDescent="0.2"/>
    <row r="38" ht="18.75" customHeight="1" x14ac:dyDescent="0.2"/>
    <row r="39" ht="18.75" customHeight="1" x14ac:dyDescent="0.2"/>
    <row r="40" ht="18.75" customHeight="1" x14ac:dyDescent="0.2"/>
    <row r="41" ht="18.75" customHeight="1" x14ac:dyDescent="0.2"/>
    <row r="42" ht="18.75" customHeight="1" x14ac:dyDescent="0.2"/>
    <row r="43" ht="18.75" customHeight="1" x14ac:dyDescent="0.2"/>
    <row r="44" ht="18.75" customHeight="1" x14ac:dyDescent="0.2"/>
    <row r="45" ht="18.75" customHeight="1" x14ac:dyDescent="0.2"/>
    <row r="46" ht="18.75" customHeight="1" x14ac:dyDescent="0.2"/>
    <row r="47" ht="18.75" customHeight="1" x14ac:dyDescent="0.2"/>
    <row r="48" ht="18.75" customHeight="1" x14ac:dyDescent="0.2"/>
    <row r="49" ht="18.75" customHeight="1" x14ac:dyDescent="0.2"/>
    <row r="50" ht="18.75" customHeight="1" x14ac:dyDescent="0.2"/>
    <row r="51" ht="18.75" customHeight="1" x14ac:dyDescent="0.2"/>
    <row r="52" ht="18.75" customHeight="1" x14ac:dyDescent="0.2"/>
    <row r="53" ht="18.75" customHeight="1" x14ac:dyDescent="0.2"/>
    <row r="54" ht="18.75" customHeight="1" x14ac:dyDescent="0.2"/>
    <row r="55" ht="18.75" customHeight="1" x14ac:dyDescent="0.2"/>
    <row r="56" ht="18.75" customHeight="1" x14ac:dyDescent="0.2"/>
    <row r="57" ht="18.75" customHeight="1" x14ac:dyDescent="0.2"/>
    <row r="58" ht="18.75" customHeight="1" x14ac:dyDescent="0.2"/>
    <row r="59" ht="18.75" customHeight="1" x14ac:dyDescent="0.2"/>
    <row r="60" ht="18.75" customHeight="1" x14ac:dyDescent="0.2"/>
    <row r="61" ht="18.75" customHeight="1" x14ac:dyDescent="0.2"/>
    <row r="62" ht="18.75" customHeight="1" x14ac:dyDescent="0.2"/>
    <row r="63" ht="18.75" customHeight="1" x14ac:dyDescent="0.2"/>
    <row r="6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</sheetData>
  <mergeCells count="4">
    <mergeCell ref="A1:D1"/>
    <mergeCell ref="A2:D2"/>
    <mergeCell ref="A3:D3"/>
    <mergeCell ref="A13:B13"/>
  </mergeCells>
  <pageMargins left="0.7" right="0.7" top="0.75" bottom="0.75" header="0.3" footer="0.3"/>
  <pageSetup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8"/>
  <sheetViews>
    <sheetView workbookViewId="0">
      <selection activeCell="C13" sqref="C13"/>
    </sheetView>
  </sheetViews>
  <sheetFormatPr defaultRowHeight="12.75" x14ac:dyDescent="0.2"/>
  <cols>
    <col min="1" max="1" width="60.1640625" style="175" customWidth="1"/>
    <col min="2" max="2" width="14.33203125" style="175" customWidth="1"/>
    <col min="3" max="3" width="10.1640625" style="175" bestFit="1" customWidth="1"/>
    <col min="4" max="4" width="14.33203125" style="175" customWidth="1"/>
    <col min="5" max="5" width="10.1640625" style="175" customWidth="1"/>
    <col min="6" max="6" width="14.33203125" style="175" customWidth="1"/>
    <col min="7" max="7" width="10.1640625" style="175" customWidth="1"/>
    <col min="8" max="16384" width="9.33203125" style="175"/>
  </cols>
  <sheetData>
    <row r="1" spans="1:7" ht="15.75" x14ac:dyDescent="0.25">
      <c r="A1" s="313" t="s">
        <v>0</v>
      </c>
      <c r="B1" s="313"/>
      <c r="C1" s="314"/>
      <c r="D1" s="314"/>
      <c r="E1" s="314"/>
      <c r="F1" s="314"/>
      <c r="G1" s="314"/>
    </row>
    <row r="2" spans="1:7" ht="15.75" x14ac:dyDescent="0.25">
      <c r="A2" s="313" t="s">
        <v>87</v>
      </c>
      <c r="B2" s="313"/>
      <c r="C2" s="314"/>
      <c r="D2" s="314"/>
      <c r="E2" s="314"/>
      <c r="F2" s="314"/>
      <c r="G2" s="314"/>
    </row>
    <row r="3" spans="1:7" ht="15.75" x14ac:dyDescent="0.25">
      <c r="A3" s="313" t="s">
        <v>88</v>
      </c>
      <c r="B3" s="313"/>
      <c r="C3" s="314"/>
      <c r="D3" s="314"/>
      <c r="E3" s="314"/>
      <c r="F3" s="314"/>
      <c r="G3" s="314"/>
    </row>
    <row r="4" spans="1:7" x14ac:dyDescent="0.2">
      <c r="A4" s="174"/>
      <c r="B4" s="174"/>
      <c r="C4" s="174"/>
      <c r="D4" s="225"/>
      <c r="E4" s="225"/>
      <c r="F4" s="225"/>
      <c r="G4" s="225"/>
    </row>
    <row r="5" spans="1:7" x14ac:dyDescent="0.2">
      <c r="A5" s="174"/>
      <c r="B5" s="227"/>
      <c r="C5" s="227"/>
      <c r="D5" s="227"/>
      <c r="E5" s="227"/>
      <c r="F5" s="227"/>
      <c r="G5" s="227"/>
    </row>
    <row r="6" spans="1:7" ht="25.5" customHeight="1" x14ac:dyDescent="0.2">
      <c r="A6" s="174"/>
      <c r="B6" s="315" t="s">
        <v>206</v>
      </c>
      <c r="C6" s="315"/>
      <c r="D6" s="315" t="s">
        <v>198</v>
      </c>
      <c r="E6" s="315"/>
      <c r="F6" s="315" t="s">
        <v>207</v>
      </c>
      <c r="G6" s="315"/>
    </row>
    <row r="7" spans="1:7" x14ac:dyDescent="0.2">
      <c r="A7" s="174"/>
      <c r="B7" s="176" t="s">
        <v>3</v>
      </c>
      <c r="C7" s="176"/>
      <c r="D7" s="176" t="s">
        <v>3</v>
      </c>
      <c r="E7" s="176"/>
      <c r="F7" s="176" t="s">
        <v>3</v>
      </c>
      <c r="G7" s="176"/>
    </row>
    <row r="8" spans="1:7" ht="12.75" customHeight="1" x14ac:dyDescent="0.2">
      <c r="A8" s="177" t="s">
        <v>89</v>
      </c>
      <c r="B8" s="178"/>
      <c r="C8" s="178"/>
      <c r="D8" s="178"/>
      <c r="E8" s="178"/>
      <c r="F8" s="178"/>
      <c r="G8" s="178"/>
    </row>
    <row r="9" spans="1:7" ht="12.75" customHeight="1" x14ac:dyDescent="0.2">
      <c r="A9" s="179" t="s">
        <v>90</v>
      </c>
      <c r="B9" s="169">
        <v>21.48596483</v>
      </c>
      <c r="C9" s="169"/>
      <c r="D9" s="169">
        <v>18.791742040000003</v>
      </c>
      <c r="E9" s="169"/>
      <c r="F9" s="169">
        <v>21.712965970000003</v>
      </c>
      <c r="G9" s="169"/>
    </row>
    <row r="10" spans="1:7" ht="12.75" customHeight="1" x14ac:dyDescent="0.2">
      <c r="A10" s="179"/>
      <c r="B10" s="166"/>
      <c r="C10" s="166"/>
      <c r="D10" s="166"/>
      <c r="E10" s="166"/>
      <c r="F10" s="166"/>
      <c r="G10" s="166"/>
    </row>
    <row r="11" spans="1:7" ht="12.75" customHeight="1" x14ac:dyDescent="0.2">
      <c r="A11" s="179" t="s">
        <v>91</v>
      </c>
      <c r="B11" s="167">
        <v>258.33600000000001</v>
      </c>
      <c r="C11" s="221">
        <f>B11/B9</f>
        <v>12.023476815865196</v>
      </c>
      <c r="D11" s="167">
        <v>226.70130569</v>
      </c>
      <c r="E11" s="221">
        <v>12.06</v>
      </c>
      <c r="F11" s="167">
        <v>271.70794793000005</v>
      </c>
      <c r="G11" s="221">
        <v>12.51</v>
      </c>
    </row>
    <row r="12" spans="1:7" ht="12.75" customHeight="1" x14ac:dyDescent="0.2">
      <c r="A12" s="179" t="s">
        <v>92</v>
      </c>
      <c r="B12" s="168">
        <v>209.80199999999999</v>
      </c>
      <c r="C12" s="180">
        <f>B12/B9</f>
        <v>9.7646068798856902</v>
      </c>
      <c r="D12" s="168">
        <v>200.38808413000001</v>
      </c>
      <c r="E12" s="180">
        <v>10.66</v>
      </c>
      <c r="F12" s="168">
        <v>223.07874669999998</v>
      </c>
      <c r="G12" s="180">
        <v>10.27</v>
      </c>
    </row>
    <row r="13" spans="1:7" ht="12.75" customHeight="1" x14ac:dyDescent="0.2">
      <c r="A13" s="179" t="s">
        <v>93</v>
      </c>
      <c r="B13" s="169">
        <f t="shared" ref="B13:G13" si="0">B11-B12</f>
        <v>48.53400000000002</v>
      </c>
      <c r="C13" s="181">
        <f t="shared" si="0"/>
        <v>2.2588699359795061</v>
      </c>
      <c r="D13" s="169">
        <f t="shared" si="0"/>
        <v>26.313221559999988</v>
      </c>
      <c r="E13" s="181">
        <f t="shared" si="0"/>
        <v>1.4000000000000004</v>
      </c>
      <c r="F13" s="169">
        <f t="shared" si="0"/>
        <v>48.629201230000064</v>
      </c>
      <c r="G13" s="181">
        <f t="shared" si="0"/>
        <v>2.2400000000000002</v>
      </c>
    </row>
    <row r="14" spans="1:7" ht="12.75" customHeight="1" x14ac:dyDescent="0.2">
      <c r="A14" s="179"/>
      <c r="B14" s="166"/>
      <c r="C14" s="166"/>
      <c r="D14" s="166"/>
      <c r="E14" s="166"/>
      <c r="F14" s="166"/>
      <c r="G14" s="166"/>
    </row>
    <row r="15" spans="1:7" ht="12.75" customHeight="1" x14ac:dyDescent="0.2">
      <c r="A15" s="177" t="s">
        <v>94</v>
      </c>
      <c r="B15" s="178"/>
      <c r="C15" s="178"/>
      <c r="D15" s="178"/>
      <c r="E15" s="178"/>
      <c r="F15" s="178"/>
      <c r="G15" s="178"/>
    </row>
    <row r="16" spans="1:7" ht="12.75" customHeight="1" x14ac:dyDescent="0.2">
      <c r="A16" s="179" t="s">
        <v>90</v>
      </c>
      <c r="B16" s="169">
        <v>1.8946652799999999</v>
      </c>
      <c r="C16" s="166"/>
      <c r="D16" s="169">
        <v>2.0093107199999998</v>
      </c>
      <c r="E16" s="166"/>
      <c r="F16" s="169">
        <v>2.22086549</v>
      </c>
      <c r="G16" s="166"/>
    </row>
    <row r="17" spans="1:7" ht="12.75" customHeight="1" x14ac:dyDescent="0.2">
      <c r="A17" s="179"/>
      <c r="B17" s="166"/>
      <c r="C17" s="166"/>
      <c r="D17" s="166"/>
      <c r="E17" s="166"/>
      <c r="F17" s="166"/>
      <c r="G17" s="166"/>
    </row>
    <row r="18" spans="1:7" ht="12.75" customHeight="1" x14ac:dyDescent="0.2">
      <c r="A18" s="179" t="s">
        <v>91</v>
      </c>
      <c r="B18" s="167">
        <v>198.471</v>
      </c>
      <c r="C18" s="221">
        <f>B18/B16</f>
        <v>104.75253972036687</v>
      </c>
      <c r="D18" s="167">
        <v>209.72384381000001</v>
      </c>
      <c r="E18" s="221">
        <v>104.38</v>
      </c>
      <c r="F18" s="167">
        <v>196.77630450000001</v>
      </c>
      <c r="G18" s="221">
        <v>88.6</v>
      </c>
    </row>
    <row r="19" spans="1:7" ht="12.75" customHeight="1" x14ac:dyDescent="0.2">
      <c r="A19" s="179" t="s">
        <v>92</v>
      </c>
      <c r="B19" s="168">
        <v>118.496</v>
      </c>
      <c r="C19" s="180">
        <f>B19/B16</f>
        <v>62.541917694295847</v>
      </c>
      <c r="D19" s="168">
        <v>123.24022872</v>
      </c>
      <c r="E19" s="180">
        <v>61.33</v>
      </c>
      <c r="F19" s="168">
        <v>143.15113161000002</v>
      </c>
      <c r="G19" s="180">
        <v>64.459999999999994</v>
      </c>
    </row>
    <row r="20" spans="1:7" ht="12.75" customHeight="1" x14ac:dyDescent="0.2">
      <c r="A20" s="179" t="s">
        <v>93</v>
      </c>
      <c r="B20" s="169">
        <f t="shared" ref="B20:G20" si="1">B18-B19</f>
        <v>79.975000000000009</v>
      </c>
      <c r="C20" s="181">
        <f t="shared" si="1"/>
        <v>42.210622026071022</v>
      </c>
      <c r="D20" s="169">
        <f t="shared" si="1"/>
        <v>86.483615090000001</v>
      </c>
      <c r="E20" s="181">
        <f t="shared" si="1"/>
        <v>43.05</v>
      </c>
      <c r="F20" s="169">
        <f t="shared" si="1"/>
        <v>53.625172889999988</v>
      </c>
      <c r="G20" s="181">
        <f t="shared" si="1"/>
        <v>24.14</v>
      </c>
    </row>
    <row r="21" spans="1:7" ht="12.75" customHeight="1" x14ac:dyDescent="0.2">
      <c r="A21" s="177"/>
      <c r="B21" s="178"/>
      <c r="C21" s="178"/>
      <c r="D21" s="178"/>
      <c r="E21" s="178"/>
      <c r="F21" s="178"/>
      <c r="G21" s="178"/>
    </row>
    <row r="22" spans="1:7" ht="12.75" customHeight="1" x14ac:dyDescent="0.2">
      <c r="A22" s="177" t="s">
        <v>95</v>
      </c>
      <c r="B22" s="178"/>
      <c r="C22" s="178"/>
      <c r="D22" s="178"/>
      <c r="E22" s="178"/>
      <c r="F22" s="178"/>
      <c r="G22" s="178"/>
    </row>
    <row r="23" spans="1:7" ht="12.75" customHeight="1" x14ac:dyDescent="0.2">
      <c r="A23" s="179" t="s">
        <v>90</v>
      </c>
      <c r="B23" s="169">
        <v>2.54610644</v>
      </c>
      <c r="C23" s="166"/>
      <c r="D23" s="169">
        <v>2.0364883300000001</v>
      </c>
      <c r="E23" s="166"/>
      <c r="F23" s="169">
        <v>2.3259114400000001</v>
      </c>
      <c r="G23" s="166"/>
    </row>
    <row r="24" spans="1:7" ht="12.75" customHeight="1" x14ac:dyDescent="0.2">
      <c r="A24" s="179"/>
      <c r="B24" s="166"/>
      <c r="C24" s="166"/>
      <c r="D24" s="166"/>
      <c r="E24" s="166"/>
      <c r="F24" s="166"/>
      <c r="G24" s="166"/>
    </row>
    <row r="25" spans="1:7" ht="12.75" customHeight="1" x14ac:dyDescent="0.2">
      <c r="A25" s="179" t="s">
        <v>91</v>
      </c>
      <c r="B25" s="167">
        <v>94.11</v>
      </c>
      <c r="C25" s="221">
        <f>B25/B23</f>
        <v>36.962319611429912</v>
      </c>
      <c r="D25" s="167">
        <v>74.883816949999996</v>
      </c>
      <c r="E25" s="221">
        <v>36.770000000000003</v>
      </c>
      <c r="F25" s="167">
        <v>81.601800859999997</v>
      </c>
      <c r="G25" s="221">
        <v>35.08</v>
      </c>
    </row>
    <row r="26" spans="1:7" ht="12.75" customHeight="1" x14ac:dyDescent="0.2">
      <c r="A26" s="179" t="s">
        <v>92</v>
      </c>
      <c r="B26" s="168">
        <v>70.484999999999999</v>
      </c>
      <c r="C26" s="180">
        <f>B26/B23</f>
        <v>27.683445944231618</v>
      </c>
      <c r="D26" s="168">
        <v>63.518729440000001</v>
      </c>
      <c r="E26" s="180">
        <v>31.19</v>
      </c>
      <c r="F26" s="168">
        <v>60.592557859999999</v>
      </c>
      <c r="G26" s="180">
        <v>26.05</v>
      </c>
    </row>
    <row r="27" spans="1:7" ht="12.75" customHeight="1" x14ac:dyDescent="0.2">
      <c r="A27" s="179" t="s">
        <v>93</v>
      </c>
      <c r="B27" s="169">
        <f t="shared" ref="B27:G27" si="2">B25-B26</f>
        <v>23.625</v>
      </c>
      <c r="C27" s="181">
        <f t="shared" si="2"/>
        <v>9.2788736671982939</v>
      </c>
      <c r="D27" s="169">
        <f t="shared" si="2"/>
        <v>11.365087509999995</v>
      </c>
      <c r="E27" s="181">
        <f t="shared" si="2"/>
        <v>5.5800000000000018</v>
      </c>
      <c r="F27" s="169">
        <f t="shared" si="2"/>
        <v>21.009242999999998</v>
      </c>
      <c r="G27" s="181">
        <f t="shared" si="2"/>
        <v>9.0299999999999976</v>
      </c>
    </row>
    <row r="28" spans="1:7" ht="12.75" customHeight="1" x14ac:dyDescent="0.2">
      <c r="A28" s="177"/>
      <c r="B28" s="178"/>
      <c r="C28" s="178"/>
      <c r="D28" s="178"/>
      <c r="E28" s="178"/>
      <c r="F28" s="178"/>
      <c r="G28" s="178"/>
    </row>
    <row r="29" spans="1:7" ht="12.75" customHeight="1" x14ac:dyDescent="0.2">
      <c r="A29" s="177" t="s">
        <v>96</v>
      </c>
      <c r="B29" s="167">
        <f>B13+B20+B27</f>
        <v>152.13400000000001</v>
      </c>
      <c r="C29" s="178"/>
      <c r="D29" s="167">
        <f>D13+D20+D27</f>
        <v>124.16192415999998</v>
      </c>
      <c r="E29" s="178"/>
      <c r="F29" s="167">
        <f>F13+F20+F27</f>
        <v>123.26361712000005</v>
      </c>
      <c r="G29" s="178"/>
    </row>
    <row r="30" spans="1:7" ht="12.75" customHeight="1" x14ac:dyDescent="0.2">
      <c r="A30" s="177"/>
      <c r="B30" s="178"/>
      <c r="C30" s="178"/>
      <c r="D30" s="178"/>
      <c r="E30" s="178"/>
      <c r="F30" s="178"/>
      <c r="G30" s="178"/>
    </row>
    <row r="31" spans="1:7" ht="12.75" customHeight="1" x14ac:dyDescent="0.2">
      <c r="A31" s="177" t="s">
        <v>9</v>
      </c>
      <c r="B31" s="169">
        <v>-22.9</v>
      </c>
      <c r="C31" s="178"/>
      <c r="D31" s="169">
        <v>-24.8</v>
      </c>
      <c r="E31" s="178"/>
      <c r="F31" s="169">
        <v>-21.1</v>
      </c>
      <c r="G31" s="178"/>
    </row>
    <row r="32" spans="1:7" ht="12.75" customHeight="1" x14ac:dyDescent="0.2">
      <c r="A32" s="177" t="s">
        <v>49</v>
      </c>
      <c r="B32" s="168">
        <v>-4.3</v>
      </c>
      <c r="C32" s="178"/>
      <c r="D32" s="168">
        <v>-14</v>
      </c>
      <c r="E32" s="178"/>
      <c r="F32" s="168">
        <v>2.9</v>
      </c>
      <c r="G32" s="178"/>
    </row>
    <row r="33" spans="1:7" ht="12.75" customHeight="1" x14ac:dyDescent="0.2">
      <c r="A33" s="177"/>
      <c r="B33" s="178"/>
      <c r="C33" s="178"/>
      <c r="D33" s="178"/>
      <c r="E33" s="178"/>
      <c r="F33" s="178"/>
      <c r="G33" s="178"/>
    </row>
    <row r="34" spans="1:7" ht="12.75" customHeight="1" thickBot="1" x14ac:dyDescent="0.25">
      <c r="A34" s="177" t="s">
        <v>186</v>
      </c>
      <c r="B34" s="182">
        <f>SUM(B29:B32)</f>
        <v>124.93400000000001</v>
      </c>
      <c r="C34" s="178"/>
      <c r="D34" s="182">
        <f>SUM(D29:D32)</f>
        <v>85.361924159999987</v>
      </c>
      <c r="E34" s="178"/>
      <c r="F34" s="182">
        <f>SUM(F29:F32)</f>
        <v>105.06361712000006</v>
      </c>
      <c r="G34" s="178"/>
    </row>
    <row r="35" spans="1:7" ht="12.75" customHeight="1" thickTop="1" x14ac:dyDescent="0.2">
      <c r="A35" s="177"/>
      <c r="B35" s="222"/>
      <c r="C35" s="178"/>
      <c r="D35" s="178"/>
      <c r="E35" s="178"/>
      <c r="F35" s="178"/>
      <c r="G35" s="178"/>
    </row>
    <row r="36" spans="1:7" ht="12.75" customHeight="1" x14ac:dyDescent="0.2">
      <c r="A36" s="186"/>
      <c r="B36" s="178"/>
      <c r="C36" s="178"/>
      <c r="D36" s="178"/>
      <c r="E36" s="178"/>
      <c r="F36" s="178"/>
      <c r="G36" s="178"/>
    </row>
    <row r="37" spans="1:7" x14ac:dyDescent="0.2">
      <c r="A37" s="177"/>
      <c r="B37" s="187"/>
      <c r="C37" s="177"/>
      <c r="D37" s="177"/>
      <c r="E37" s="177"/>
      <c r="F37" s="177"/>
      <c r="G37" s="177"/>
    </row>
    <row r="38" spans="1:7" x14ac:dyDescent="0.2">
      <c r="A38" s="177"/>
      <c r="B38" s="177"/>
      <c r="C38" s="177"/>
      <c r="D38" s="177"/>
      <c r="E38" s="177"/>
      <c r="F38" s="177"/>
      <c r="G38" s="177"/>
    </row>
  </sheetData>
  <mergeCells count="6">
    <mergeCell ref="A1:G1"/>
    <mergeCell ref="A2:G2"/>
    <mergeCell ref="A3:G3"/>
    <mergeCell ref="B6:C6"/>
    <mergeCell ref="D6:E6"/>
    <mergeCell ref="F6:G6"/>
  </mergeCells>
  <pageMargins left="0.7" right="0.7" top="0.75" bottom="0.75" header="0.3" footer="0.3"/>
  <pageSetup scale="75" orientation="portrait" r:id="rId1"/>
  <ignoredErrors>
    <ignoredError sqref="H9:I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53"/>
  <sheetViews>
    <sheetView topLeftCell="A28" workbookViewId="0">
      <selection activeCell="J42" sqref="J42"/>
    </sheetView>
  </sheetViews>
  <sheetFormatPr defaultRowHeight="12.75" x14ac:dyDescent="0.2"/>
  <cols>
    <col min="1" max="1" width="59.6640625" style="175" bestFit="1" customWidth="1"/>
    <col min="2" max="6" width="20.83203125" style="175" customWidth="1"/>
    <col min="7" max="7" width="9.33203125" style="175"/>
    <col min="8" max="8" width="14.33203125" style="175" customWidth="1"/>
    <col min="9" max="16384" width="9.33203125" style="175"/>
  </cols>
  <sheetData>
    <row r="1" spans="1:9" ht="15.75" x14ac:dyDescent="0.25">
      <c r="A1" s="313" t="s">
        <v>0</v>
      </c>
      <c r="B1" s="313"/>
      <c r="C1" s="314"/>
      <c r="D1" s="314"/>
      <c r="E1" s="314"/>
      <c r="F1" s="314"/>
      <c r="G1" s="314"/>
      <c r="H1" s="317"/>
      <c r="I1" s="317"/>
    </row>
    <row r="2" spans="1:9" ht="15.75" x14ac:dyDescent="0.25">
      <c r="A2" s="313" t="s">
        <v>127</v>
      </c>
      <c r="B2" s="313"/>
      <c r="C2" s="314"/>
      <c r="D2" s="314"/>
      <c r="E2" s="314"/>
      <c r="F2" s="314"/>
      <c r="G2" s="314"/>
      <c r="H2" s="318"/>
      <c r="I2" s="314"/>
    </row>
    <row r="3" spans="1:9" ht="15.75" x14ac:dyDescent="0.25">
      <c r="A3" s="313" t="s">
        <v>88</v>
      </c>
      <c r="B3" s="313"/>
      <c r="C3" s="314"/>
      <c r="D3" s="314"/>
      <c r="E3" s="314"/>
      <c r="F3" s="314"/>
      <c r="G3" s="314"/>
      <c r="H3" s="318"/>
      <c r="I3" s="314"/>
    </row>
    <row r="4" spans="1:9" x14ac:dyDescent="0.2">
      <c r="A4" s="225"/>
      <c r="B4" s="225"/>
      <c r="C4" s="225"/>
      <c r="D4" s="225"/>
      <c r="E4" s="225"/>
      <c r="F4" s="225"/>
      <c r="G4" s="225"/>
      <c r="H4" s="225"/>
      <c r="I4" s="225"/>
    </row>
    <row r="5" spans="1:9" x14ac:dyDescent="0.2">
      <c r="A5" s="311" t="s">
        <v>47</v>
      </c>
      <c r="B5" s="307"/>
      <c r="C5" s="307"/>
      <c r="D5" s="307"/>
      <c r="E5" s="307"/>
      <c r="F5" s="307"/>
      <c r="G5" s="261"/>
      <c r="H5" s="261"/>
      <c r="I5" s="261"/>
    </row>
    <row r="6" spans="1:9" x14ac:dyDescent="0.2">
      <c r="A6" s="311" t="s">
        <v>152</v>
      </c>
      <c r="B6" s="307"/>
      <c r="C6" s="307"/>
      <c r="D6" s="307"/>
      <c r="E6" s="307"/>
      <c r="F6" s="307"/>
      <c r="G6" s="261"/>
      <c r="H6" s="261"/>
      <c r="I6" s="261"/>
    </row>
    <row r="7" spans="1:9" x14ac:dyDescent="0.2">
      <c r="A7" s="261"/>
      <c r="B7" s="261"/>
      <c r="C7" s="261"/>
      <c r="D7" s="261"/>
      <c r="E7" s="261"/>
      <c r="F7" s="261"/>
      <c r="G7" s="261"/>
      <c r="H7" s="261"/>
      <c r="I7" s="261"/>
    </row>
    <row r="8" spans="1:9" x14ac:dyDescent="0.2">
      <c r="A8" s="249" t="s">
        <v>153</v>
      </c>
      <c r="B8" s="247"/>
      <c r="C8" s="247"/>
      <c r="D8" s="247"/>
      <c r="E8" s="247"/>
      <c r="F8" s="247"/>
    </row>
    <row r="9" spans="1:9" x14ac:dyDescent="0.2">
      <c r="A9" s="316"/>
      <c r="B9" s="316"/>
      <c r="C9" s="316"/>
      <c r="D9" s="316"/>
      <c r="E9" s="316"/>
      <c r="F9" s="316"/>
    </row>
    <row r="10" spans="1:9" x14ac:dyDescent="0.2">
      <c r="A10" s="250" t="s">
        <v>154</v>
      </c>
      <c r="B10" s="250"/>
      <c r="C10" s="250"/>
      <c r="D10" s="250"/>
      <c r="E10" s="250"/>
      <c r="F10" s="250"/>
    </row>
    <row r="11" spans="1:9" x14ac:dyDescent="0.2">
      <c r="A11" s="250" t="s">
        <v>138</v>
      </c>
      <c r="B11" s="248"/>
      <c r="C11" s="248"/>
      <c r="D11" s="248"/>
      <c r="E11" s="248"/>
      <c r="F11" s="248"/>
    </row>
    <row r="12" spans="1:9" ht="12.75" customHeight="1" x14ac:dyDescent="0.2">
      <c r="A12" s="251" t="s">
        <v>158</v>
      </c>
      <c r="B12" s="252"/>
      <c r="C12" s="252"/>
      <c r="D12" s="252"/>
      <c r="E12" s="252"/>
      <c r="F12" s="252"/>
    </row>
    <row r="13" spans="1:9" x14ac:dyDescent="0.2">
      <c r="A13" s="251" t="s">
        <v>155</v>
      </c>
      <c r="B13" s="252"/>
      <c r="C13" s="252"/>
      <c r="D13" s="252"/>
      <c r="E13" s="252"/>
      <c r="F13" s="252"/>
    </row>
    <row r="14" spans="1:9" x14ac:dyDescent="0.2">
      <c r="A14" s="251" t="s">
        <v>156</v>
      </c>
      <c r="B14" s="252"/>
      <c r="C14" s="252"/>
      <c r="D14" s="252"/>
      <c r="E14" s="252"/>
      <c r="F14" s="252"/>
    </row>
    <row r="15" spans="1:9" x14ac:dyDescent="0.2">
      <c r="A15" s="251" t="s">
        <v>157</v>
      </c>
      <c r="B15" s="252"/>
      <c r="C15" s="252"/>
      <c r="D15" s="252"/>
      <c r="E15" s="252"/>
      <c r="F15" s="252"/>
    </row>
    <row r="16" spans="1:9" x14ac:dyDescent="0.2">
      <c r="A16" s="175" t="s">
        <v>118</v>
      </c>
    </row>
    <row r="18" spans="1:6" ht="30" x14ac:dyDescent="0.25">
      <c r="A18" s="228" t="s">
        <v>208</v>
      </c>
      <c r="B18" s="229" t="s">
        <v>89</v>
      </c>
      <c r="C18" s="230" t="s">
        <v>94</v>
      </c>
      <c r="D18" s="230" t="s">
        <v>95</v>
      </c>
      <c r="E18" s="230" t="s">
        <v>128</v>
      </c>
      <c r="F18" s="231" t="s">
        <v>129</v>
      </c>
    </row>
    <row r="19" spans="1:6" x14ac:dyDescent="0.2">
      <c r="A19" s="224" t="s">
        <v>15</v>
      </c>
      <c r="B19" s="232"/>
      <c r="C19" s="233"/>
      <c r="D19" s="233"/>
      <c r="E19" s="233"/>
      <c r="F19" s="233"/>
    </row>
    <row r="20" spans="1:6" ht="25.5" x14ac:dyDescent="0.2">
      <c r="A20" s="224" t="s">
        <v>130</v>
      </c>
      <c r="B20" s="238">
        <f>261928-1</f>
        <v>261927</v>
      </c>
      <c r="C20" s="238">
        <v>236328</v>
      </c>
      <c r="D20" s="238">
        <v>130663</v>
      </c>
      <c r="E20" s="238">
        <v>4262</v>
      </c>
      <c r="F20" s="238">
        <f>SUM(B20:E20)</f>
        <v>633180</v>
      </c>
    </row>
    <row r="21" spans="1:6" ht="25.5" x14ac:dyDescent="0.2">
      <c r="A21" s="224" t="s">
        <v>131</v>
      </c>
      <c r="B21" s="238"/>
      <c r="C21" s="238"/>
      <c r="D21" s="238"/>
      <c r="E21" s="238"/>
      <c r="F21" s="238"/>
    </row>
    <row r="22" spans="1:6" ht="25.5" x14ac:dyDescent="0.2">
      <c r="A22" s="236" t="s">
        <v>132</v>
      </c>
      <c r="B22" s="293">
        <v>0</v>
      </c>
      <c r="C22" s="276">
        <v>0</v>
      </c>
      <c r="D22" s="276">
        <v>2522</v>
      </c>
      <c r="E22" s="276">
        <v>0</v>
      </c>
      <c r="F22" s="293">
        <f>SUM(B22:E22)</f>
        <v>2522</v>
      </c>
    </row>
    <row r="23" spans="1:6" ht="25.5" x14ac:dyDescent="0.2">
      <c r="A23" s="236" t="s">
        <v>133</v>
      </c>
      <c r="B23" s="293">
        <v>0</v>
      </c>
      <c r="C23" s="276">
        <v>0</v>
      </c>
      <c r="D23" s="276">
        <v>0</v>
      </c>
      <c r="E23" s="276">
        <v>4262</v>
      </c>
      <c r="F23" s="293">
        <f>SUM(B23:E23)</f>
        <v>4262</v>
      </c>
    </row>
    <row r="24" spans="1:6" x14ac:dyDescent="0.2">
      <c r="A24" s="236" t="s">
        <v>134</v>
      </c>
      <c r="B24" s="293">
        <v>3592</v>
      </c>
      <c r="C24" s="276">
        <v>37857</v>
      </c>
      <c r="D24" s="276">
        <v>34031</v>
      </c>
      <c r="E24" s="276">
        <v>0</v>
      </c>
      <c r="F24" s="293">
        <f>SUM(B24:E24)</f>
        <v>75480</v>
      </c>
    </row>
    <row r="25" spans="1:6" x14ac:dyDescent="0.2">
      <c r="A25" s="224" t="s">
        <v>135</v>
      </c>
      <c r="B25" s="277">
        <f>B20-SUM(B22:B24)</f>
        <v>258335</v>
      </c>
      <c r="C25" s="277">
        <f t="shared" ref="C25:E25" si="0">C20-SUM(C22:C24)</f>
        <v>198471</v>
      </c>
      <c r="D25" s="277">
        <f t="shared" si="0"/>
        <v>94110</v>
      </c>
      <c r="E25" s="277">
        <f t="shared" si="0"/>
        <v>0</v>
      </c>
      <c r="F25" s="277">
        <f>F20-SUM(F22:F24)</f>
        <v>550916</v>
      </c>
    </row>
    <row r="26" spans="1:6" x14ac:dyDescent="0.2">
      <c r="A26" s="224" t="s">
        <v>136</v>
      </c>
      <c r="B26" s="293">
        <v>21485.964830000001</v>
      </c>
      <c r="C26" s="293">
        <v>1894.6652799999999</v>
      </c>
      <c r="D26" s="293">
        <v>2546.10644</v>
      </c>
      <c r="E26" s="238"/>
      <c r="F26" s="238"/>
    </row>
    <row r="27" spans="1:6" x14ac:dyDescent="0.2">
      <c r="A27" s="224" t="s">
        <v>137</v>
      </c>
      <c r="B27" s="278">
        <f>B25/B26</f>
        <v>12.02343027385473</v>
      </c>
      <c r="C27" s="278">
        <f>C25/C26</f>
        <v>104.75253972036687</v>
      </c>
      <c r="D27" s="278">
        <f t="shared" ref="D27" si="1">D25/D26</f>
        <v>36.962319611429912</v>
      </c>
      <c r="E27" s="238"/>
      <c r="F27" s="238"/>
    </row>
    <row r="28" spans="1:6" x14ac:dyDescent="0.2">
      <c r="A28" s="237"/>
      <c r="B28" s="237"/>
      <c r="C28" s="237"/>
      <c r="D28" s="237"/>
      <c r="E28" s="237"/>
      <c r="F28" s="237"/>
    </row>
    <row r="29" spans="1:6" x14ac:dyDescent="0.2">
      <c r="A29" s="237"/>
      <c r="B29" s="237"/>
      <c r="C29" s="237"/>
      <c r="D29" s="237"/>
      <c r="E29" s="237"/>
      <c r="F29" s="237"/>
    </row>
    <row r="30" spans="1:6" ht="30" x14ac:dyDescent="0.25">
      <c r="A30" s="280" t="s">
        <v>197</v>
      </c>
      <c r="B30" s="281" t="s">
        <v>89</v>
      </c>
      <c r="C30" s="282" t="s">
        <v>94</v>
      </c>
      <c r="D30" s="282" t="s">
        <v>95</v>
      </c>
      <c r="E30" s="282" t="s">
        <v>128</v>
      </c>
      <c r="F30" s="283" t="s">
        <v>129</v>
      </c>
    </row>
    <row r="31" spans="1:6" x14ac:dyDescent="0.2">
      <c r="A31" s="271" t="s">
        <v>15</v>
      </c>
      <c r="B31" s="284"/>
      <c r="C31" s="285"/>
      <c r="D31" s="285"/>
      <c r="E31" s="285"/>
      <c r="F31" s="285"/>
    </row>
    <row r="32" spans="1:6" ht="25.5" x14ac:dyDescent="0.2">
      <c r="A32" s="271" t="s">
        <v>130</v>
      </c>
      <c r="B32" s="238">
        <v>229878</v>
      </c>
      <c r="C32" s="238">
        <v>259032</v>
      </c>
      <c r="D32" s="238">
        <v>99814</v>
      </c>
      <c r="E32" s="238">
        <v>3625</v>
      </c>
      <c r="F32" s="238">
        <f>SUM(B32:E32)</f>
        <v>592349</v>
      </c>
    </row>
    <row r="33" spans="1:6" ht="25.5" x14ac:dyDescent="0.2">
      <c r="A33" s="271" t="s">
        <v>131</v>
      </c>
      <c r="B33" s="238"/>
      <c r="C33" s="238"/>
      <c r="D33" s="238"/>
      <c r="E33" s="238"/>
      <c r="F33" s="238"/>
    </row>
    <row r="34" spans="1:6" ht="25.5" x14ac:dyDescent="0.2">
      <c r="A34" s="286" t="s">
        <v>132</v>
      </c>
      <c r="B34" s="293">
        <v>0</v>
      </c>
      <c r="C34" s="276">
        <v>0</v>
      </c>
      <c r="D34" s="276">
        <v>1649</v>
      </c>
      <c r="E34" s="276">
        <v>0</v>
      </c>
      <c r="F34" s="293">
        <f>SUM(B34:E34)</f>
        <v>1649</v>
      </c>
    </row>
    <row r="35" spans="1:6" ht="25.5" x14ac:dyDescent="0.2">
      <c r="A35" s="286" t="s">
        <v>133</v>
      </c>
      <c r="B35" s="293">
        <v>0</v>
      </c>
      <c r="C35" s="276">
        <v>0</v>
      </c>
      <c r="D35" s="276">
        <v>0</v>
      </c>
      <c r="E35" s="276">
        <v>3625</v>
      </c>
      <c r="F35" s="275">
        <f>SUM(B35:E35)</f>
        <v>3625</v>
      </c>
    </row>
    <row r="36" spans="1:6" x14ac:dyDescent="0.2">
      <c r="A36" s="286" t="s">
        <v>134</v>
      </c>
      <c r="B36" s="293">
        <v>3176</v>
      </c>
      <c r="C36" s="276">
        <v>49308</v>
      </c>
      <c r="D36" s="276">
        <v>23281</v>
      </c>
      <c r="E36" s="276">
        <v>0</v>
      </c>
      <c r="F36" s="275">
        <f>SUM(B36:E36)</f>
        <v>75765</v>
      </c>
    </row>
    <row r="37" spans="1:6" x14ac:dyDescent="0.2">
      <c r="A37" s="271" t="s">
        <v>135</v>
      </c>
      <c r="B37" s="277">
        <f>B32-SUM(B34:B36)</f>
        <v>226702</v>
      </c>
      <c r="C37" s="277">
        <f t="shared" ref="C37" si="2">C32-SUM(C34:C36)</f>
        <v>209724</v>
      </c>
      <c r="D37" s="277">
        <f t="shared" ref="D37" si="3">D32-SUM(D34:D36)</f>
        <v>74884</v>
      </c>
      <c r="E37" s="277">
        <f t="shared" ref="E37" si="4">E32-SUM(E34:E36)</f>
        <v>0</v>
      </c>
      <c r="F37" s="277">
        <f>F32-SUM(F34:F36)</f>
        <v>511310</v>
      </c>
    </row>
    <row r="38" spans="1:6" x14ac:dyDescent="0.2">
      <c r="A38" s="271" t="s">
        <v>136</v>
      </c>
      <c r="B38" s="293">
        <v>18791.742040000001</v>
      </c>
      <c r="C38" s="293">
        <v>2009.3107199999999</v>
      </c>
      <c r="D38" s="293">
        <v>2036.4883299999999</v>
      </c>
      <c r="E38" s="238"/>
      <c r="F38" s="238"/>
    </row>
    <row r="39" spans="1:6" x14ac:dyDescent="0.2">
      <c r="A39" s="271" t="s">
        <v>137</v>
      </c>
      <c r="B39" s="278">
        <f>B37/B38</f>
        <v>12.063916134940728</v>
      </c>
      <c r="C39" s="278">
        <f t="shared" ref="C39:D39" si="5">C37/C38</f>
        <v>104.37609171766127</v>
      </c>
      <c r="D39" s="278">
        <f t="shared" si="5"/>
        <v>36.771141232122851</v>
      </c>
      <c r="E39" s="238"/>
      <c r="F39" s="238"/>
    </row>
    <row r="40" spans="1:6" x14ac:dyDescent="0.2">
      <c r="A40" s="223"/>
      <c r="B40" s="238"/>
      <c r="C40" s="238"/>
      <c r="D40" s="238"/>
      <c r="E40" s="238"/>
      <c r="F40" s="238"/>
    </row>
    <row r="41" spans="1:6" ht="15" x14ac:dyDescent="0.25">
      <c r="A41" s="239"/>
      <c r="B41" s="240"/>
      <c r="C41" s="241"/>
      <c r="D41" s="242"/>
      <c r="E41" s="242"/>
      <c r="F41" s="241"/>
    </row>
    <row r="42" spans="1:6" ht="30" x14ac:dyDescent="0.25">
      <c r="A42" s="228" t="s">
        <v>209</v>
      </c>
      <c r="B42" s="229" t="s">
        <v>89</v>
      </c>
      <c r="C42" s="230" t="s">
        <v>94</v>
      </c>
      <c r="D42" s="230" t="s">
        <v>95</v>
      </c>
      <c r="E42" s="230" t="s">
        <v>128</v>
      </c>
      <c r="F42" s="231" t="s">
        <v>129</v>
      </c>
    </row>
    <row r="43" spans="1:6" x14ac:dyDescent="0.2">
      <c r="A43" s="224" t="s">
        <v>15</v>
      </c>
      <c r="B43" s="232"/>
      <c r="C43" s="233"/>
      <c r="D43" s="233"/>
      <c r="E43" s="233"/>
      <c r="F43" s="233"/>
    </row>
    <row r="44" spans="1:6" ht="25.5" x14ac:dyDescent="0.2">
      <c r="A44" s="224" t="s">
        <v>130</v>
      </c>
      <c r="B44" s="238">
        <f>275999+1</f>
        <v>276000</v>
      </c>
      <c r="C44" s="238">
        <v>238946</v>
      </c>
      <c r="D44" s="238">
        <v>93859</v>
      </c>
      <c r="E44" s="238">
        <v>4733</v>
      </c>
      <c r="F44" s="238">
        <f>SUM(B44:E44)</f>
        <v>613538</v>
      </c>
    </row>
    <row r="45" spans="1:6" ht="25.5" x14ac:dyDescent="0.2">
      <c r="A45" s="224" t="s">
        <v>131</v>
      </c>
      <c r="B45" s="238"/>
      <c r="C45" s="238"/>
      <c r="D45" s="238"/>
      <c r="E45" s="238"/>
      <c r="F45" s="238"/>
    </row>
    <row r="46" spans="1:6" ht="25.5" x14ac:dyDescent="0.2">
      <c r="A46" s="236" t="s">
        <v>132</v>
      </c>
      <c r="B46" s="293">
        <v>0</v>
      </c>
      <c r="C46" s="276">
        <v>0</v>
      </c>
      <c r="D46" s="276">
        <v>19</v>
      </c>
      <c r="E46" s="276">
        <v>0</v>
      </c>
      <c r="F46" s="293">
        <f>SUM(B46:E46)</f>
        <v>19</v>
      </c>
    </row>
    <row r="47" spans="1:6" ht="25.5" x14ac:dyDescent="0.2">
      <c r="A47" s="236" t="s">
        <v>133</v>
      </c>
      <c r="B47" s="293">
        <v>0</v>
      </c>
      <c r="C47" s="276">
        <v>0</v>
      </c>
      <c r="D47" s="276">
        <v>0</v>
      </c>
      <c r="E47" s="276">
        <v>3719</v>
      </c>
      <c r="F47" s="293">
        <f>SUM(B47:E47)</f>
        <v>3719</v>
      </c>
    </row>
    <row r="48" spans="1:6" x14ac:dyDescent="0.2">
      <c r="A48" s="236" t="s">
        <v>134</v>
      </c>
      <c r="B48" s="293">
        <v>4291</v>
      </c>
      <c r="C48" s="276">
        <v>42170</v>
      </c>
      <c r="D48" s="276">
        <v>12239</v>
      </c>
      <c r="E48" s="276">
        <v>1014</v>
      </c>
      <c r="F48" s="293">
        <f>SUM(B48:E48)</f>
        <v>59714</v>
      </c>
    </row>
    <row r="49" spans="1:6" x14ac:dyDescent="0.2">
      <c r="A49" s="224" t="s">
        <v>135</v>
      </c>
      <c r="B49" s="277">
        <f>B44-SUM(B46:B48)</f>
        <v>271709</v>
      </c>
      <c r="C49" s="277">
        <f t="shared" ref="C49" si="6">C44-SUM(C46:C48)</f>
        <v>196776</v>
      </c>
      <c r="D49" s="277">
        <f t="shared" ref="D49" si="7">D44-SUM(D46:D48)</f>
        <v>81601</v>
      </c>
      <c r="E49" s="277">
        <f t="shared" ref="E49" si="8">E44-SUM(E46:E48)</f>
        <v>0</v>
      </c>
      <c r="F49" s="277">
        <f>F44-SUM(F46:F48)</f>
        <v>550086</v>
      </c>
    </row>
    <row r="50" spans="1:6" x14ac:dyDescent="0.2">
      <c r="A50" s="224" t="s">
        <v>136</v>
      </c>
      <c r="B50" s="293">
        <v>21712.965970000001</v>
      </c>
      <c r="C50" s="293">
        <v>2220.8654900000001</v>
      </c>
      <c r="D50" s="293">
        <v>2325.9114399999999</v>
      </c>
      <c r="E50" s="238"/>
      <c r="F50" s="238"/>
    </row>
    <row r="51" spans="1:6" x14ac:dyDescent="0.2">
      <c r="A51" s="224" t="s">
        <v>137</v>
      </c>
      <c r="B51" s="278">
        <f>B49/B50</f>
        <v>12.513675026037909</v>
      </c>
      <c r="C51" s="278">
        <f t="shared" ref="C51" si="9">C49/C50</f>
        <v>88.603294925349118</v>
      </c>
      <c r="D51" s="278">
        <f t="shared" ref="D51" si="10">D49/D50</f>
        <v>35.083450984703013</v>
      </c>
      <c r="E51" s="238"/>
      <c r="F51" s="238"/>
    </row>
    <row r="52" spans="1:6" x14ac:dyDescent="0.2">
      <c r="A52" s="224"/>
      <c r="B52" s="232"/>
      <c r="C52" s="233"/>
      <c r="D52" s="233"/>
      <c r="E52" s="233"/>
      <c r="F52" s="233"/>
    </row>
    <row r="53" spans="1:6" ht="15" x14ac:dyDescent="0.25">
      <c r="A53" s="243"/>
      <c r="B53" s="244"/>
      <c r="C53" s="245"/>
      <c r="D53" s="246"/>
      <c r="E53" s="246"/>
      <c r="F53" s="245"/>
    </row>
  </sheetData>
  <mergeCells count="6">
    <mergeCell ref="A9:F9"/>
    <mergeCell ref="A1:I1"/>
    <mergeCell ref="A2:I2"/>
    <mergeCell ref="A3:I3"/>
    <mergeCell ref="A5:F5"/>
    <mergeCell ref="A6:F6"/>
  </mergeCells>
  <pageMargins left="0.7" right="0.7" top="0.75" bottom="0.75" header="0.3" footer="0.3"/>
  <pageSetup scale="5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97"/>
  <sheetViews>
    <sheetView tabSelected="1" workbookViewId="0">
      <selection activeCell="A11" sqref="A11"/>
    </sheetView>
  </sheetViews>
  <sheetFormatPr defaultRowHeight="12.75" x14ac:dyDescent="0.2"/>
  <cols>
    <col min="1" max="1" width="59.6640625" style="175" bestFit="1" customWidth="1"/>
    <col min="2" max="6" width="20.83203125" style="175" customWidth="1"/>
    <col min="7" max="7" width="9.33203125" style="175"/>
    <col min="8" max="8" width="14.33203125" style="175" customWidth="1"/>
    <col min="9" max="16384" width="9.33203125" style="175"/>
  </cols>
  <sheetData>
    <row r="1" spans="1:9" ht="15.75" x14ac:dyDescent="0.25">
      <c r="A1" s="313" t="s">
        <v>0</v>
      </c>
      <c r="B1" s="313"/>
      <c r="C1" s="314"/>
      <c r="D1" s="314"/>
      <c r="E1" s="314"/>
      <c r="F1" s="314"/>
      <c r="G1" s="314"/>
      <c r="H1" s="317"/>
      <c r="I1" s="317"/>
    </row>
    <row r="2" spans="1:9" ht="15.75" x14ac:dyDescent="0.25">
      <c r="A2" s="313" t="s">
        <v>127</v>
      </c>
      <c r="B2" s="313"/>
      <c r="C2" s="314"/>
      <c r="D2" s="314"/>
      <c r="E2" s="314"/>
      <c r="F2" s="314"/>
      <c r="G2" s="314"/>
      <c r="H2" s="318"/>
      <c r="I2" s="314"/>
    </row>
    <row r="3" spans="1:9" ht="15.75" x14ac:dyDescent="0.25">
      <c r="A3" s="313" t="s">
        <v>88</v>
      </c>
      <c r="B3" s="313"/>
      <c r="C3" s="314"/>
      <c r="D3" s="314"/>
      <c r="E3" s="314"/>
      <c r="F3" s="314"/>
      <c r="G3" s="314"/>
      <c r="H3" s="318"/>
      <c r="I3" s="314"/>
    </row>
    <row r="4" spans="1:9" x14ac:dyDescent="0.2">
      <c r="A4" s="225"/>
      <c r="B4" s="225"/>
      <c r="C4" s="225"/>
      <c r="D4" s="225"/>
      <c r="E4" s="225"/>
      <c r="F4" s="225"/>
      <c r="G4" s="225"/>
      <c r="H4" s="225"/>
      <c r="I4" s="225"/>
    </row>
    <row r="5" spans="1:9" x14ac:dyDescent="0.2">
      <c r="A5" s="249" t="s">
        <v>159</v>
      </c>
      <c r="B5" s="247"/>
      <c r="C5" s="247"/>
      <c r="D5" s="247"/>
      <c r="E5" s="247"/>
      <c r="F5" s="247"/>
    </row>
    <row r="6" spans="1:9" x14ac:dyDescent="0.2">
      <c r="A6" s="316"/>
      <c r="B6" s="316"/>
      <c r="C6" s="316"/>
      <c r="D6" s="316"/>
      <c r="E6" s="316"/>
      <c r="F6" s="316"/>
    </row>
    <row r="7" spans="1:9" x14ac:dyDescent="0.2">
      <c r="A7" s="250" t="s">
        <v>160</v>
      </c>
      <c r="B7" s="250"/>
      <c r="C7" s="250"/>
      <c r="D7" s="250"/>
      <c r="E7" s="250"/>
      <c r="F7" s="250"/>
    </row>
    <row r="8" spans="1:9" x14ac:dyDescent="0.2">
      <c r="A8" s="250" t="s">
        <v>161</v>
      </c>
      <c r="B8" s="248"/>
      <c r="C8" s="248"/>
      <c r="D8" s="248"/>
      <c r="E8" s="248"/>
      <c r="F8" s="248"/>
    </row>
    <row r="9" spans="1:9" ht="12.75" customHeight="1" x14ac:dyDescent="0.2">
      <c r="A9" s="251" t="s">
        <v>162</v>
      </c>
      <c r="B9" s="252"/>
      <c r="C9" s="252"/>
      <c r="D9" s="252"/>
      <c r="E9" s="252"/>
      <c r="F9" s="252"/>
    </row>
    <row r="10" spans="1:9" x14ac:dyDescent="0.2">
      <c r="A10" s="251" t="s">
        <v>216</v>
      </c>
      <c r="B10" s="252"/>
      <c r="C10" s="252"/>
      <c r="D10" s="252"/>
      <c r="E10" s="252"/>
      <c r="F10" s="252"/>
    </row>
    <row r="11" spans="1:9" x14ac:dyDescent="0.2">
      <c r="A11" s="251" t="s">
        <v>163</v>
      </c>
      <c r="B11" s="252"/>
      <c r="C11" s="252"/>
      <c r="D11" s="252"/>
      <c r="E11" s="252"/>
      <c r="F11" s="252"/>
    </row>
    <row r="12" spans="1:9" x14ac:dyDescent="0.2">
      <c r="A12" s="253" t="s">
        <v>164</v>
      </c>
      <c r="B12" s="252"/>
      <c r="C12" s="252"/>
      <c r="D12" s="252"/>
      <c r="E12" s="252"/>
      <c r="F12" s="252"/>
    </row>
    <row r="15" spans="1:9" ht="30" x14ac:dyDescent="0.25">
      <c r="A15" s="228" t="str">
        <f>'NON-GAAP Sales'!A18</f>
        <v>Quarter ended September 30, 2018</v>
      </c>
      <c r="B15" s="229" t="s">
        <v>89</v>
      </c>
      <c r="C15" s="230" t="s">
        <v>94</v>
      </c>
      <c r="D15" s="230" t="s">
        <v>95</v>
      </c>
      <c r="E15" s="230" t="s">
        <v>128</v>
      </c>
      <c r="F15" s="231" t="s">
        <v>129</v>
      </c>
    </row>
    <row r="16" spans="1:9" x14ac:dyDescent="0.2">
      <c r="A16" s="226" t="s">
        <v>15</v>
      </c>
      <c r="B16" s="232"/>
      <c r="C16" s="233"/>
      <c r="D16" s="233"/>
      <c r="E16" s="233"/>
      <c r="F16" s="233"/>
    </row>
    <row r="17" spans="1:6" ht="25.5" x14ac:dyDescent="0.2">
      <c r="A17" s="226" t="s">
        <v>139</v>
      </c>
      <c r="B17" s="238">
        <f>214922-1</f>
        <v>214921</v>
      </c>
      <c r="C17" s="238">
        <v>156353</v>
      </c>
      <c r="D17" s="238">
        <v>104516</v>
      </c>
      <c r="E17" s="238">
        <v>6239</v>
      </c>
      <c r="F17" s="238">
        <f>SUM(B17:E17)</f>
        <v>482029</v>
      </c>
    </row>
    <row r="18" spans="1:6" ht="25.5" x14ac:dyDescent="0.2">
      <c r="A18" s="226" t="s">
        <v>140</v>
      </c>
      <c r="B18" s="238"/>
      <c r="C18" s="238"/>
      <c r="D18" s="238"/>
      <c r="E18" s="238"/>
      <c r="F18" s="238"/>
    </row>
    <row r="19" spans="1:6" ht="25.5" x14ac:dyDescent="0.2">
      <c r="A19" s="236" t="s">
        <v>141</v>
      </c>
      <c r="B19" s="293">
        <v>1528</v>
      </c>
      <c r="C19" s="276">
        <v>0</v>
      </c>
      <c r="D19" s="276">
        <v>0</v>
      </c>
      <c r="E19" s="276">
        <v>0</v>
      </c>
      <c r="F19" s="293">
        <f>SUM(B19:E19)</f>
        <v>1528</v>
      </c>
    </row>
    <row r="20" spans="1:6" x14ac:dyDescent="0.2">
      <c r="A20" s="236" t="s">
        <v>134</v>
      </c>
      <c r="B20" s="293">
        <f>'NON-GAAP Sales'!B24</f>
        <v>3592</v>
      </c>
      <c r="C20" s="293">
        <f>'NON-GAAP Sales'!C24</f>
        <v>37857</v>
      </c>
      <c r="D20" s="293">
        <f>'NON-GAAP Sales'!D24</f>
        <v>34031</v>
      </c>
      <c r="E20" s="293">
        <f>'NON-GAAP Sales'!E24</f>
        <v>0</v>
      </c>
      <c r="F20" s="293">
        <f t="shared" ref="F20:F22" si="0">SUM(B20:E20)</f>
        <v>75480</v>
      </c>
    </row>
    <row r="21" spans="1:6" ht="25.5" x14ac:dyDescent="0.2">
      <c r="A21" s="236" t="s">
        <v>142</v>
      </c>
      <c r="B21" s="293">
        <v>0</v>
      </c>
      <c r="C21" s="276">
        <v>0</v>
      </c>
      <c r="D21" s="276">
        <v>0</v>
      </c>
      <c r="E21" s="276">
        <v>3174</v>
      </c>
      <c r="F21" s="293">
        <f t="shared" si="0"/>
        <v>3174</v>
      </c>
    </row>
    <row r="22" spans="1:6" x14ac:dyDescent="0.2">
      <c r="A22" s="236" t="s">
        <v>143</v>
      </c>
      <c r="B22" s="293">
        <v>0</v>
      </c>
      <c r="C22" s="276">
        <v>0</v>
      </c>
      <c r="D22" s="276">
        <v>0</v>
      </c>
      <c r="E22" s="293">
        <v>3065</v>
      </c>
      <c r="F22" s="293">
        <f t="shared" si="0"/>
        <v>3065</v>
      </c>
    </row>
    <row r="23" spans="1:6" ht="13.5" thickBot="1" x14ac:dyDescent="0.25">
      <c r="A23" s="226" t="s">
        <v>144</v>
      </c>
      <c r="B23" s="279">
        <f>B17-SUM(B19:B22)</f>
        <v>209801</v>
      </c>
      <c r="C23" s="279">
        <f t="shared" ref="C23" si="1">C17-SUM(C19:C22)</f>
        <v>118496</v>
      </c>
      <c r="D23" s="279">
        <f t="shared" ref="D23" si="2">D17-SUM(D19:D22)</f>
        <v>70485</v>
      </c>
      <c r="E23" s="279">
        <f t="shared" ref="E23" si="3">E17-SUM(E19:E22)</f>
        <v>0</v>
      </c>
      <c r="F23" s="279">
        <f t="shared" ref="F23" si="4">F17-SUM(F19:F22)</f>
        <v>398782</v>
      </c>
    </row>
    <row r="24" spans="1:6" ht="13.5" thickTop="1" x14ac:dyDescent="0.2">
      <c r="A24" s="226" t="s">
        <v>136</v>
      </c>
      <c r="B24" s="293">
        <f>'NON-GAAP Sales'!B26</f>
        <v>21485.964830000001</v>
      </c>
      <c r="C24" s="293">
        <f>'NON-GAAP Sales'!C26</f>
        <v>1894.6652799999999</v>
      </c>
      <c r="D24" s="293">
        <f>'NON-GAAP Sales'!D26</f>
        <v>2546.10644</v>
      </c>
      <c r="E24" s="238"/>
      <c r="F24" s="238"/>
    </row>
    <row r="25" spans="1:6" x14ac:dyDescent="0.2">
      <c r="A25" s="226" t="s">
        <v>145</v>
      </c>
      <c r="B25" s="278">
        <f>B23/B24</f>
        <v>9.7645603378752241</v>
      </c>
      <c r="C25" s="278">
        <f>C23/C24</f>
        <v>62.541917694295854</v>
      </c>
      <c r="D25" s="278">
        <f>D23/D24</f>
        <v>27.683445944231618</v>
      </c>
      <c r="E25" s="238"/>
      <c r="F25" s="238"/>
    </row>
    <row r="26" spans="1:6" x14ac:dyDescent="0.2">
      <c r="A26" s="226"/>
      <c r="B26" s="234"/>
      <c r="C26" s="234"/>
      <c r="D26" s="234"/>
      <c r="E26" s="234"/>
      <c r="F26" s="234"/>
    </row>
    <row r="27" spans="1:6" ht="15" x14ac:dyDescent="0.25">
      <c r="A27" s="243"/>
      <c r="B27" s="244"/>
      <c r="C27" s="245"/>
      <c r="D27" s="244"/>
      <c r="E27" s="246"/>
      <c r="F27" s="245"/>
    </row>
    <row r="28" spans="1:6" ht="30" x14ac:dyDescent="0.25">
      <c r="A28" s="228" t="str">
        <f>'NON-GAAP Sales'!A30</f>
        <v>Quarter ended June 30, 2018</v>
      </c>
      <c r="B28" s="229" t="s">
        <v>89</v>
      </c>
      <c r="C28" s="230" t="s">
        <v>94</v>
      </c>
      <c r="D28" s="230" t="s">
        <v>95</v>
      </c>
      <c r="E28" s="230" t="s">
        <v>128</v>
      </c>
      <c r="F28" s="231" t="s">
        <v>129</v>
      </c>
    </row>
    <row r="29" spans="1:6" x14ac:dyDescent="0.2">
      <c r="A29" s="226" t="s">
        <v>15</v>
      </c>
      <c r="B29" s="232"/>
      <c r="C29" s="233"/>
      <c r="D29" s="233"/>
      <c r="E29" s="233"/>
      <c r="F29" s="233"/>
    </row>
    <row r="30" spans="1:6" ht="25.5" x14ac:dyDescent="0.2">
      <c r="A30" s="226" t="s">
        <v>139</v>
      </c>
      <c r="B30" s="234">
        <v>205532</v>
      </c>
      <c r="C30" s="234">
        <v>172548</v>
      </c>
      <c r="D30" s="234">
        <v>86800</v>
      </c>
      <c r="E30" s="234">
        <v>9508</v>
      </c>
      <c r="F30" s="238">
        <f>SUM(B30:E30)</f>
        <v>474388</v>
      </c>
    </row>
    <row r="31" spans="1:6" ht="25.5" x14ac:dyDescent="0.2">
      <c r="A31" s="226" t="s">
        <v>140</v>
      </c>
      <c r="B31" s="234"/>
      <c r="C31" s="234"/>
      <c r="D31" s="234"/>
      <c r="E31" s="234"/>
      <c r="F31" s="238"/>
    </row>
    <row r="32" spans="1:6" ht="25.5" x14ac:dyDescent="0.2">
      <c r="A32" s="236" t="s">
        <v>141</v>
      </c>
      <c r="B32" s="294">
        <v>1968</v>
      </c>
      <c r="C32" s="235">
        <v>0</v>
      </c>
      <c r="D32" s="235">
        <v>0</v>
      </c>
      <c r="E32" s="235">
        <v>0</v>
      </c>
      <c r="F32" s="275">
        <f>SUM(B32:E32)</f>
        <v>1968</v>
      </c>
    </row>
    <row r="33" spans="1:6" x14ac:dyDescent="0.2">
      <c r="A33" s="236" t="s">
        <v>134</v>
      </c>
      <c r="B33" s="294">
        <f>'NON-GAAP Sales'!B36</f>
        <v>3176</v>
      </c>
      <c r="C33" s="294">
        <f>'NON-GAAP Sales'!C36</f>
        <v>49308</v>
      </c>
      <c r="D33" s="294">
        <f>'NON-GAAP Sales'!D36</f>
        <v>23281</v>
      </c>
      <c r="E33" s="294">
        <f>'NON-GAAP Sales'!E36</f>
        <v>0</v>
      </c>
      <c r="F33" s="275">
        <f t="shared" ref="F33:F35" si="5">SUM(B33:E33)</f>
        <v>75765</v>
      </c>
    </row>
    <row r="34" spans="1:6" ht="25.5" x14ac:dyDescent="0.2">
      <c r="A34" s="236" t="s">
        <v>142</v>
      </c>
      <c r="B34" s="294">
        <v>0</v>
      </c>
      <c r="C34" s="235">
        <v>0</v>
      </c>
      <c r="D34" s="235">
        <v>0</v>
      </c>
      <c r="E34" s="235">
        <v>6731</v>
      </c>
      <c r="F34" s="275">
        <f t="shared" si="5"/>
        <v>6731</v>
      </c>
    </row>
    <row r="35" spans="1:6" x14ac:dyDescent="0.2">
      <c r="A35" s="236" t="s">
        <v>143</v>
      </c>
      <c r="B35" s="294">
        <v>0</v>
      </c>
      <c r="C35" s="235">
        <v>0</v>
      </c>
      <c r="D35" s="235">
        <v>0</v>
      </c>
      <c r="E35" s="294">
        <v>2777</v>
      </c>
      <c r="F35" s="275">
        <f t="shared" si="5"/>
        <v>2777</v>
      </c>
    </row>
    <row r="36" spans="1:6" ht="13.5" thickBot="1" x14ac:dyDescent="0.25">
      <c r="A36" s="226" t="s">
        <v>144</v>
      </c>
      <c r="B36" s="279">
        <f>B30-SUM(B32:B35)</f>
        <v>200388</v>
      </c>
      <c r="C36" s="279">
        <f t="shared" ref="C36:F36" si="6">C30-SUM(C32:C35)</f>
        <v>123240</v>
      </c>
      <c r="D36" s="279">
        <f t="shared" si="6"/>
        <v>63519</v>
      </c>
      <c r="E36" s="279">
        <f t="shared" si="6"/>
        <v>0</v>
      </c>
      <c r="F36" s="279">
        <f t="shared" si="6"/>
        <v>387147</v>
      </c>
    </row>
    <row r="37" spans="1:6" ht="13.5" thickTop="1" x14ac:dyDescent="0.2">
      <c r="A37" s="226" t="s">
        <v>136</v>
      </c>
      <c r="B37" s="294">
        <f>'NON-GAAP Sales'!B38</f>
        <v>18791.742040000001</v>
      </c>
      <c r="C37" s="294">
        <f>'NON-GAAP Sales'!C38</f>
        <v>2009.3107199999999</v>
      </c>
      <c r="D37" s="294">
        <f>'NON-GAAP Sales'!D38</f>
        <v>2036.4883299999999</v>
      </c>
      <c r="E37" s="238"/>
      <c r="F37" s="238"/>
    </row>
    <row r="38" spans="1:6" x14ac:dyDescent="0.2">
      <c r="A38" s="226" t="s">
        <v>145</v>
      </c>
      <c r="B38" s="278">
        <f>B36/B37</f>
        <v>10.66362019941819</v>
      </c>
      <c r="C38" s="278">
        <f>C36/C37</f>
        <v>61.334465980453238</v>
      </c>
      <c r="D38" s="278">
        <f>D36/D37</f>
        <v>31.190456171187588</v>
      </c>
      <c r="E38" s="238"/>
      <c r="F38" s="238"/>
    </row>
    <row r="39" spans="1:6" x14ac:dyDescent="0.2">
      <c r="A39" s="226"/>
      <c r="B39" s="232"/>
      <c r="C39" s="233"/>
      <c r="D39" s="233"/>
      <c r="E39" s="233"/>
      <c r="F39" s="233"/>
    </row>
    <row r="40" spans="1:6" ht="15" x14ac:dyDescent="0.25">
      <c r="A40" s="243"/>
      <c r="B40" s="244"/>
      <c r="C40" s="245"/>
      <c r="D40" s="246"/>
      <c r="E40" s="246"/>
      <c r="F40" s="245"/>
    </row>
    <row r="41" spans="1:6" ht="30" x14ac:dyDescent="0.25">
      <c r="A41" s="228" t="str">
        <f>'NON-GAAP Sales'!A42</f>
        <v>Quarter ended September 30, 2017</v>
      </c>
      <c r="B41" s="229" t="s">
        <v>89</v>
      </c>
      <c r="C41" s="230" t="s">
        <v>94</v>
      </c>
      <c r="D41" s="230" t="s">
        <v>95</v>
      </c>
      <c r="E41" s="230" t="s">
        <v>128</v>
      </c>
      <c r="F41" s="231" t="s">
        <v>129</v>
      </c>
    </row>
    <row r="42" spans="1:6" x14ac:dyDescent="0.2">
      <c r="A42" s="226" t="s">
        <v>15</v>
      </c>
      <c r="B42" s="232"/>
      <c r="C42" s="233"/>
      <c r="D42" s="233"/>
      <c r="E42" s="233"/>
      <c r="F42" s="233"/>
    </row>
    <row r="43" spans="1:6" ht="25.5" x14ac:dyDescent="0.2">
      <c r="A43" s="301" t="s">
        <v>139</v>
      </c>
      <c r="B43" s="238">
        <v>226449</v>
      </c>
      <c r="C43" s="238">
        <v>185321</v>
      </c>
      <c r="D43" s="238">
        <v>72831</v>
      </c>
      <c r="E43" s="238">
        <v>9778</v>
      </c>
      <c r="F43" s="238">
        <f>SUM(B43:E43)</f>
        <v>494379</v>
      </c>
    </row>
    <row r="44" spans="1:6" ht="25.5" x14ac:dyDescent="0.2">
      <c r="A44" s="301" t="s">
        <v>140</v>
      </c>
      <c r="B44" s="238"/>
      <c r="C44" s="238"/>
      <c r="D44" s="238"/>
      <c r="E44" s="238"/>
      <c r="F44" s="238"/>
    </row>
    <row r="45" spans="1:6" ht="25.5" x14ac:dyDescent="0.2">
      <c r="A45" s="236" t="s">
        <v>141</v>
      </c>
      <c r="B45" s="293">
        <v>-921</v>
      </c>
      <c r="C45" s="276">
        <v>0</v>
      </c>
      <c r="D45" s="276">
        <v>0</v>
      </c>
      <c r="E45" s="276">
        <v>0</v>
      </c>
      <c r="F45" s="293">
        <f>SUM(B45:E45)</f>
        <v>-921</v>
      </c>
    </row>
    <row r="46" spans="1:6" x14ac:dyDescent="0.2">
      <c r="A46" s="236" t="s">
        <v>134</v>
      </c>
      <c r="B46" s="293">
        <f>'NON-GAAP Sales'!B48</f>
        <v>4291</v>
      </c>
      <c r="C46" s="293">
        <f>'NON-GAAP Sales'!C48</f>
        <v>42170</v>
      </c>
      <c r="D46" s="293">
        <f>'NON-GAAP Sales'!D48</f>
        <v>12239</v>
      </c>
      <c r="E46" s="293">
        <f>'NON-GAAP Sales'!E48</f>
        <v>1014</v>
      </c>
      <c r="F46" s="293">
        <f t="shared" ref="F46:F48" si="7">SUM(B46:E46)</f>
        <v>59714</v>
      </c>
    </row>
    <row r="47" spans="1:6" ht="25.5" x14ac:dyDescent="0.2">
      <c r="A47" s="236" t="s">
        <v>142</v>
      </c>
      <c r="B47" s="293">
        <v>0</v>
      </c>
      <c r="C47" s="276">
        <v>0</v>
      </c>
      <c r="D47" s="276">
        <v>0</v>
      </c>
      <c r="E47" s="276">
        <v>7979</v>
      </c>
      <c r="F47" s="293">
        <f t="shared" si="7"/>
        <v>7979</v>
      </c>
    </row>
    <row r="48" spans="1:6" x14ac:dyDescent="0.2">
      <c r="A48" s="236" t="s">
        <v>143</v>
      </c>
      <c r="B48" s="293">
        <v>0</v>
      </c>
      <c r="C48" s="276">
        <v>0</v>
      </c>
      <c r="D48" s="276">
        <v>0</v>
      </c>
      <c r="E48" s="293">
        <v>785</v>
      </c>
      <c r="F48" s="293">
        <f t="shared" si="7"/>
        <v>785</v>
      </c>
    </row>
    <row r="49" spans="1:6" ht="13.5" thickBot="1" x14ac:dyDescent="0.25">
      <c r="A49" s="301" t="s">
        <v>144</v>
      </c>
      <c r="B49" s="279">
        <f>B43-SUM(B45:B48)</f>
        <v>223079</v>
      </c>
      <c r="C49" s="279">
        <f t="shared" ref="C49" si="8">C43-SUM(C45:C48)</f>
        <v>143151</v>
      </c>
      <c r="D49" s="279">
        <f t="shared" ref="D49" si="9">D43-SUM(D45:D48)</f>
        <v>60592</v>
      </c>
      <c r="E49" s="279">
        <f t="shared" ref="E49" si="10">E43-SUM(E45:E48)</f>
        <v>0</v>
      </c>
      <c r="F49" s="279">
        <f t="shared" ref="F49" si="11">F43-SUM(F45:F48)</f>
        <v>426822</v>
      </c>
    </row>
    <row r="50" spans="1:6" ht="13.5" thickTop="1" x14ac:dyDescent="0.2">
      <c r="A50" s="301" t="s">
        <v>136</v>
      </c>
      <c r="B50" s="293">
        <f>'NON-GAAP Sales'!B50</f>
        <v>21712.965970000001</v>
      </c>
      <c r="C50" s="293">
        <f>'NON-GAAP Sales'!C50</f>
        <v>2220.8654900000001</v>
      </c>
      <c r="D50" s="293">
        <f>'NON-GAAP Sales'!D50</f>
        <v>2325.9114399999999</v>
      </c>
      <c r="E50" s="238"/>
      <c r="F50" s="238"/>
    </row>
    <row r="51" spans="1:6" x14ac:dyDescent="0.2">
      <c r="A51" s="301" t="s">
        <v>145</v>
      </c>
      <c r="B51" s="278">
        <f>B49/B50</f>
        <v>10.273999430028121</v>
      </c>
      <c r="C51" s="278">
        <f t="shared" ref="C51" si="12">C49/C50</f>
        <v>64.457303085023838</v>
      </c>
      <c r="D51" s="278">
        <f t="shared" ref="D51" si="13">D49/D50</f>
        <v>26.050862882380425</v>
      </c>
      <c r="E51" s="238"/>
      <c r="F51" s="238"/>
    </row>
    <row r="52" spans="1:6" x14ac:dyDescent="0.2">
      <c r="A52" s="226"/>
      <c r="B52" s="232"/>
      <c r="C52" s="233"/>
      <c r="D52" s="233"/>
      <c r="E52" s="233"/>
      <c r="F52" s="233"/>
    </row>
    <row r="53" spans="1:6" ht="15" x14ac:dyDescent="0.25">
      <c r="A53" s="243"/>
      <c r="B53" s="244"/>
      <c r="C53" s="245"/>
      <c r="D53" s="246"/>
      <c r="E53" s="246"/>
      <c r="F53" s="245"/>
    </row>
    <row r="54" spans="1:6" x14ac:dyDescent="0.2">
      <c r="A54" s="237"/>
      <c r="B54" s="237"/>
      <c r="C54" s="237"/>
      <c r="D54" s="237"/>
      <c r="E54" s="237"/>
      <c r="F54" s="237"/>
    </row>
    <row r="55" spans="1:6" x14ac:dyDescent="0.2">
      <c r="A55" s="237"/>
      <c r="B55" s="237"/>
      <c r="C55" s="237"/>
      <c r="D55" s="237"/>
      <c r="E55" s="237"/>
      <c r="F55" s="237"/>
    </row>
    <row r="56" spans="1:6" x14ac:dyDescent="0.2">
      <c r="A56" s="237"/>
      <c r="B56" s="237"/>
      <c r="C56" s="237"/>
      <c r="D56" s="237"/>
      <c r="E56" s="237"/>
      <c r="F56" s="237"/>
    </row>
    <row r="57" spans="1:6" x14ac:dyDescent="0.2">
      <c r="A57" s="237"/>
      <c r="B57" s="237"/>
      <c r="C57" s="237"/>
      <c r="D57" s="237"/>
      <c r="E57" s="237"/>
      <c r="F57" s="237"/>
    </row>
    <row r="58" spans="1:6" x14ac:dyDescent="0.2">
      <c r="A58" s="237"/>
      <c r="B58" s="237"/>
      <c r="C58" s="237"/>
      <c r="D58" s="237"/>
      <c r="E58" s="237"/>
      <c r="F58" s="237"/>
    </row>
    <row r="59" spans="1:6" x14ac:dyDescent="0.2">
      <c r="A59" s="237"/>
      <c r="B59" s="237"/>
      <c r="C59" s="237"/>
      <c r="D59" s="237"/>
      <c r="E59" s="237"/>
      <c r="F59" s="237"/>
    </row>
    <row r="60" spans="1:6" x14ac:dyDescent="0.2">
      <c r="A60" s="237"/>
      <c r="B60" s="237"/>
      <c r="C60" s="237"/>
      <c r="D60" s="237"/>
      <c r="E60" s="237"/>
      <c r="F60" s="237"/>
    </row>
    <row r="61" spans="1:6" x14ac:dyDescent="0.2">
      <c r="A61" s="237"/>
      <c r="B61" s="237"/>
      <c r="C61" s="237"/>
      <c r="D61" s="237"/>
      <c r="E61" s="237"/>
      <c r="F61" s="237"/>
    </row>
    <row r="62" spans="1:6" x14ac:dyDescent="0.2">
      <c r="A62" s="237"/>
      <c r="B62" s="237"/>
      <c r="C62" s="237"/>
      <c r="D62" s="237"/>
      <c r="E62" s="237"/>
      <c r="F62" s="237"/>
    </row>
    <row r="63" spans="1:6" x14ac:dyDescent="0.2">
      <c r="A63" s="237"/>
      <c r="B63" s="237"/>
      <c r="C63" s="237"/>
      <c r="D63" s="237"/>
      <c r="E63" s="237"/>
      <c r="F63" s="237"/>
    </row>
    <row r="64" spans="1:6" x14ac:dyDescent="0.2">
      <c r="A64" s="237"/>
      <c r="B64" s="237"/>
      <c r="C64" s="237"/>
      <c r="D64" s="237"/>
      <c r="E64" s="237"/>
      <c r="F64" s="237"/>
    </row>
    <row r="65" spans="1:6" x14ac:dyDescent="0.2">
      <c r="A65" s="237"/>
      <c r="B65" s="237"/>
      <c r="C65" s="237"/>
      <c r="D65" s="237"/>
      <c r="E65" s="237"/>
      <c r="F65" s="237"/>
    </row>
    <row r="66" spans="1:6" x14ac:dyDescent="0.2">
      <c r="A66" s="237"/>
      <c r="B66" s="237"/>
      <c r="C66" s="237"/>
      <c r="D66" s="237"/>
      <c r="E66" s="237"/>
      <c r="F66" s="237"/>
    </row>
    <row r="67" spans="1:6" x14ac:dyDescent="0.2">
      <c r="A67" s="237"/>
      <c r="B67" s="237"/>
      <c r="C67" s="237"/>
      <c r="D67" s="237"/>
      <c r="E67" s="237"/>
      <c r="F67" s="237"/>
    </row>
    <row r="68" spans="1:6" x14ac:dyDescent="0.2">
      <c r="A68" s="237"/>
      <c r="B68" s="237"/>
      <c r="C68" s="237"/>
      <c r="D68" s="237"/>
      <c r="E68" s="237"/>
      <c r="F68" s="237"/>
    </row>
    <row r="69" spans="1:6" x14ac:dyDescent="0.2">
      <c r="A69" s="237"/>
      <c r="B69" s="237"/>
      <c r="C69" s="237"/>
      <c r="D69" s="237"/>
      <c r="E69" s="237"/>
      <c r="F69" s="237"/>
    </row>
    <row r="70" spans="1:6" x14ac:dyDescent="0.2">
      <c r="A70" s="237"/>
      <c r="B70" s="237"/>
      <c r="C70" s="237"/>
      <c r="D70" s="237"/>
      <c r="E70" s="237"/>
      <c r="F70" s="237"/>
    </row>
    <row r="71" spans="1:6" x14ac:dyDescent="0.2">
      <c r="A71" s="237"/>
      <c r="B71" s="237"/>
      <c r="C71" s="237"/>
      <c r="D71" s="237"/>
      <c r="E71" s="237"/>
      <c r="F71" s="237"/>
    </row>
    <row r="72" spans="1:6" x14ac:dyDescent="0.2">
      <c r="A72" s="237"/>
      <c r="B72" s="237"/>
      <c r="C72" s="237"/>
      <c r="D72" s="237"/>
      <c r="E72" s="237"/>
      <c r="F72" s="237"/>
    </row>
    <row r="73" spans="1:6" x14ac:dyDescent="0.2">
      <c r="A73" s="237"/>
      <c r="B73" s="237"/>
      <c r="C73" s="237"/>
      <c r="D73" s="237"/>
      <c r="E73" s="237"/>
      <c r="F73" s="237"/>
    </row>
    <row r="74" spans="1:6" x14ac:dyDescent="0.2">
      <c r="A74" s="237"/>
      <c r="B74" s="237"/>
      <c r="C74" s="237"/>
      <c r="D74" s="237"/>
      <c r="E74" s="237"/>
      <c r="F74" s="237"/>
    </row>
    <row r="75" spans="1:6" x14ac:dyDescent="0.2">
      <c r="A75" s="237"/>
      <c r="B75" s="237"/>
      <c r="C75" s="237"/>
      <c r="D75" s="237"/>
      <c r="E75" s="237"/>
      <c r="F75" s="237"/>
    </row>
    <row r="76" spans="1:6" x14ac:dyDescent="0.2">
      <c r="A76" s="237"/>
      <c r="B76" s="237"/>
      <c r="C76" s="237"/>
      <c r="D76" s="237"/>
      <c r="E76" s="237"/>
      <c r="F76" s="237"/>
    </row>
    <row r="77" spans="1:6" x14ac:dyDescent="0.2">
      <c r="A77" s="237"/>
      <c r="B77" s="237"/>
      <c r="C77" s="237"/>
      <c r="D77" s="237"/>
      <c r="E77" s="237"/>
      <c r="F77" s="237"/>
    </row>
    <row r="78" spans="1:6" x14ac:dyDescent="0.2">
      <c r="A78" s="237"/>
      <c r="B78" s="237"/>
      <c r="C78" s="237"/>
      <c r="D78" s="237"/>
      <c r="E78" s="237"/>
      <c r="F78" s="237"/>
    </row>
    <row r="79" spans="1:6" x14ac:dyDescent="0.2">
      <c r="A79" s="237"/>
      <c r="B79" s="237"/>
      <c r="C79" s="237"/>
      <c r="D79" s="237"/>
      <c r="E79" s="237"/>
      <c r="F79" s="237"/>
    </row>
    <row r="80" spans="1:6" x14ac:dyDescent="0.2">
      <c r="A80" s="237"/>
      <c r="B80" s="237"/>
      <c r="C80" s="237"/>
      <c r="D80" s="237"/>
      <c r="E80" s="237"/>
      <c r="F80" s="237"/>
    </row>
    <row r="81" spans="1:6" x14ac:dyDescent="0.2">
      <c r="A81" s="237"/>
      <c r="B81" s="237"/>
      <c r="C81" s="237"/>
      <c r="D81" s="237"/>
      <c r="E81" s="237"/>
      <c r="F81" s="237"/>
    </row>
    <row r="82" spans="1:6" x14ac:dyDescent="0.2">
      <c r="A82" s="237"/>
      <c r="B82" s="237"/>
      <c r="C82" s="237"/>
      <c r="D82" s="237"/>
      <c r="E82" s="237"/>
      <c r="F82" s="237"/>
    </row>
    <row r="83" spans="1:6" x14ac:dyDescent="0.2">
      <c r="A83" s="237"/>
      <c r="B83" s="237"/>
      <c r="C83" s="237"/>
      <c r="D83" s="237"/>
      <c r="E83" s="237"/>
      <c r="F83" s="237"/>
    </row>
    <row r="84" spans="1:6" x14ac:dyDescent="0.2">
      <c r="A84" s="237"/>
      <c r="B84" s="237"/>
      <c r="C84" s="237"/>
      <c r="D84" s="237"/>
      <c r="E84" s="237"/>
      <c r="F84" s="237"/>
    </row>
    <row r="85" spans="1:6" x14ac:dyDescent="0.2">
      <c r="A85" s="237"/>
      <c r="B85" s="237"/>
      <c r="C85" s="237"/>
      <c r="D85" s="237"/>
      <c r="E85" s="237"/>
      <c r="F85" s="237"/>
    </row>
    <row r="86" spans="1:6" x14ac:dyDescent="0.2">
      <c r="A86" s="237"/>
      <c r="B86" s="237"/>
      <c r="C86" s="237"/>
      <c r="D86" s="237"/>
      <c r="E86" s="237"/>
      <c r="F86" s="237"/>
    </row>
    <row r="87" spans="1:6" x14ac:dyDescent="0.2">
      <c r="A87" s="237"/>
      <c r="B87" s="237"/>
      <c r="C87" s="237"/>
      <c r="D87" s="237"/>
      <c r="E87" s="237"/>
      <c r="F87" s="237"/>
    </row>
    <row r="88" spans="1:6" x14ac:dyDescent="0.2">
      <c r="A88" s="237"/>
      <c r="B88" s="237"/>
      <c r="C88" s="237"/>
      <c r="D88" s="237"/>
      <c r="E88" s="237"/>
      <c r="F88" s="237"/>
    </row>
    <row r="89" spans="1:6" x14ac:dyDescent="0.2">
      <c r="A89" s="237"/>
      <c r="B89" s="237"/>
      <c r="C89" s="237"/>
      <c r="D89" s="237"/>
      <c r="E89" s="237"/>
      <c r="F89" s="237"/>
    </row>
    <row r="90" spans="1:6" x14ac:dyDescent="0.2">
      <c r="A90" s="237"/>
      <c r="B90" s="237"/>
      <c r="C90" s="237"/>
      <c r="D90" s="237"/>
      <c r="E90" s="237"/>
      <c r="F90" s="237"/>
    </row>
    <row r="91" spans="1:6" x14ac:dyDescent="0.2">
      <c r="A91" s="237"/>
      <c r="B91" s="237"/>
      <c r="C91" s="237"/>
      <c r="D91" s="237"/>
      <c r="E91" s="237"/>
      <c r="F91" s="237"/>
    </row>
    <row r="92" spans="1:6" x14ac:dyDescent="0.2">
      <c r="A92" s="237"/>
      <c r="B92" s="237"/>
      <c r="C92" s="237"/>
      <c r="D92" s="237"/>
      <c r="E92" s="237"/>
      <c r="F92" s="237"/>
    </row>
    <row r="93" spans="1:6" x14ac:dyDescent="0.2">
      <c r="A93" s="237"/>
      <c r="B93" s="237"/>
      <c r="C93" s="237"/>
      <c r="D93" s="237"/>
      <c r="E93" s="237"/>
      <c r="F93" s="237"/>
    </row>
    <row r="94" spans="1:6" x14ac:dyDescent="0.2">
      <c r="A94" s="237"/>
      <c r="B94" s="237"/>
      <c r="C94" s="237"/>
      <c r="D94" s="237"/>
      <c r="E94" s="237"/>
      <c r="F94" s="237"/>
    </row>
    <row r="95" spans="1:6" x14ac:dyDescent="0.2">
      <c r="A95" s="237"/>
      <c r="B95" s="237"/>
      <c r="C95" s="237"/>
      <c r="D95" s="237"/>
      <c r="E95" s="237"/>
      <c r="F95" s="237"/>
    </row>
    <row r="96" spans="1:6" x14ac:dyDescent="0.2">
      <c r="A96" s="237"/>
      <c r="B96" s="237"/>
      <c r="C96" s="237"/>
      <c r="D96" s="237"/>
      <c r="E96" s="237"/>
      <c r="F96" s="237"/>
    </row>
    <row r="97" spans="1:6" x14ac:dyDescent="0.2">
      <c r="A97" s="237"/>
      <c r="B97" s="237"/>
      <c r="C97" s="237"/>
      <c r="D97" s="237"/>
      <c r="E97" s="237"/>
      <c r="F97" s="237"/>
    </row>
  </sheetData>
  <mergeCells count="4">
    <mergeCell ref="A1:I1"/>
    <mergeCell ref="A2:I2"/>
    <mergeCell ref="A3:I3"/>
    <mergeCell ref="A6:F6"/>
  </mergeCells>
  <pageMargins left="0.7" right="0.7" top="0.75" bottom="0.75" header="0.3" footer="0.3"/>
  <pageSetup scale="51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88"/>
  <sheetViews>
    <sheetView zoomScaleNormal="100" workbookViewId="0">
      <selection activeCell="A30" sqref="A30"/>
    </sheetView>
  </sheetViews>
  <sheetFormatPr defaultColWidth="21.5" defaultRowHeight="13.5" customHeight="1" x14ac:dyDescent="0.2"/>
  <cols>
    <col min="1" max="1" width="75.83203125" style="1" customWidth="1"/>
    <col min="2" max="3" width="17.83203125" style="1" customWidth="1"/>
    <col min="4" max="4" width="1" style="1" customWidth="1"/>
    <col min="5" max="6" width="17.83203125" style="1" customWidth="1"/>
    <col min="7" max="16384" width="21.5" style="1"/>
  </cols>
  <sheetData>
    <row r="1" spans="1:7" ht="13.5" customHeight="1" x14ac:dyDescent="0.25">
      <c r="A1" s="305" t="s">
        <v>0</v>
      </c>
      <c r="B1" s="307"/>
      <c r="C1" s="324"/>
      <c r="D1" s="324"/>
      <c r="E1" s="306"/>
      <c r="F1" s="306"/>
      <c r="G1" s="3"/>
    </row>
    <row r="2" spans="1:7" ht="13.5" customHeight="1" x14ac:dyDescent="0.25">
      <c r="A2" s="305" t="s">
        <v>46</v>
      </c>
      <c r="B2" s="307"/>
      <c r="C2" s="324"/>
      <c r="D2" s="324"/>
      <c r="E2" s="324"/>
      <c r="F2" s="307"/>
      <c r="G2" s="3"/>
    </row>
    <row r="3" spans="1:7" ht="13.5" customHeight="1" x14ac:dyDescent="0.25">
      <c r="A3" s="305" t="s">
        <v>1</v>
      </c>
      <c r="B3" s="307"/>
      <c r="C3" s="324"/>
      <c r="D3" s="324"/>
      <c r="E3" s="324"/>
      <c r="F3" s="307"/>
      <c r="G3" s="3"/>
    </row>
    <row r="4" spans="1:7" ht="13.5" customHeight="1" x14ac:dyDescent="0.2">
      <c r="A4" s="3"/>
      <c r="B4" s="3"/>
      <c r="C4" s="3"/>
      <c r="D4" s="3"/>
      <c r="E4" s="3"/>
      <c r="F4" s="3"/>
      <c r="G4" s="3"/>
    </row>
    <row r="5" spans="1:7" ht="13.5" customHeight="1" x14ac:dyDescent="0.2">
      <c r="A5" s="5" t="s">
        <v>186</v>
      </c>
      <c r="B5" s="3"/>
      <c r="C5" s="3"/>
      <c r="D5" s="3"/>
      <c r="E5" s="3"/>
      <c r="F5" s="3"/>
      <c r="G5" s="3"/>
    </row>
    <row r="6" spans="1:7" ht="13.5" customHeight="1" x14ac:dyDescent="0.2">
      <c r="A6" s="3"/>
      <c r="B6" s="3"/>
      <c r="C6" s="3"/>
      <c r="D6" s="3"/>
      <c r="E6" s="3"/>
      <c r="F6" s="3"/>
      <c r="G6" s="3"/>
    </row>
    <row r="7" spans="1:7" ht="13.5" customHeight="1" x14ac:dyDescent="0.2">
      <c r="A7" s="311" t="s">
        <v>187</v>
      </c>
      <c r="B7" s="307"/>
      <c r="C7" s="307"/>
      <c r="D7" s="307"/>
      <c r="E7" s="307"/>
      <c r="F7" s="307"/>
      <c r="G7" s="3"/>
    </row>
    <row r="8" spans="1:7" ht="13.5" customHeight="1" x14ac:dyDescent="0.2">
      <c r="A8" s="311" t="s">
        <v>188</v>
      </c>
      <c r="B8" s="307"/>
      <c r="C8" s="307"/>
      <c r="D8" s="307"/>
      <c r="E8" s="307"/>
      <c r="F8" s="307"/>
      <c r="G8" s="3"/>
    </row>
    <row r="9" spans="1:7" ht="13.5" customHeight="1" x14ac:dyDescent="0.2">
      <c r="A9" s="302" t="s">
        <v>189</v>
      </c>
      <c r="B9" s="325"/>
      <c r="C9" s="325"/>
      <c r="D9" s="325"/>
      <c r="E9" s="325"/>
      <c r="F9" s="325"/>
      <c r="G9" s="3"/>
    </row>
    <row r="10" spans="1:7" s="191" customFormat="1" ht="13.5" customHeight="1" x14ac:dyDescent="0.2">
      <c r="A10" s="188" t="s">
        <v>116</v>
      </c>
      <c r="B10" s="189"/>
      <c r="C10" s="189"/>
      <c r="D10" s="189"/>
      <c r="E10" s="189"/>
      <c r="F10" s="189"/>
      <c r="G10" s="190"/>
    </row>
    <row r="11" spans="1:7" ht="13.5" customHeight="1" x14ac:dyDescent="0.2">
      <c r="A11" s="307"/>
      <c r="B11" s="307"/>
      <c r="C11" s="307"/>
      <c r="D11" s="307"/>
      <c r="E11" s="307"/>
      <c r="F11" s="307"/>
      <c r="G11" s="3"/>
    </row>
    <row r="12" spans="1:7" ht="13.5" customHeight="1" x14ac:dyDescent="0.2">
      <c r="A12" s="311" t="s">
        <v>190</v>
      </c>
      <c r="B12" s="307"/>
      <c r="C12" s="307"/>
      <c r="D12" s="307"/>
      <c r="E12" s="307"/>
      <c r="F12" s="307"/>
      <c r="G12" s="3"/>
    </row>
    <row r="13" spans="1:7" ht="13.5" customHeight="1" x14ac:dyDescent="0.2">
      <c r="A13" s="311" t="s">
        <v>191</v>
      </c>
      <c r="B13" s="307"/>
      <c r="C13" s="307"/>
      <c r="D13" s="307"/>
      <c r="E13" s="307"/>
      <c r="F13" s="307"/>
      <c r="G13" s="3"/>
    </row>
    <row r="14" spans="1:7" ht="13.5" customHeight="1" x14ac:dyDescent="0.2">
      <c r="A14" s="311" t="s">
        <v>86</v>
      </c>
      <c r="B14" s="307"/>
      <c r="C14" s="307"/>
      <c r="D14" s="307"/>
      <c r="E14" s="307"/>
      <c r="F14" s="307"/>
      <c r="G14" s="3"/>
    </row>
    <row r="15" spans="1:7" ht="13.5" customHeight="1" x14ac:dyDescent="0.2">
      <c r="A15" s="311" t="s">
        <v>192</v>
      </c>
      <c r="B15" s="307"/>
      <c r="C15" s="307"/>
      <c r="D15" s="307"/>
      <c r="E15" s="307"/>
      <c r="F15" s="307"/>
      <c r="G15" s="3"/>
    </row>
    <row r="16" spans="1:7" ht="13.5" customHeight="1" x14ac:dyDescent="0.2">
      <c r="A16" s="311" t="s">
        <v>106</v>
      </c>
      <c r="B16" s="307"/>
      <c r="C16" s="307"/>
      <c r="D16" s="307"/>
      <c r="E16" s="307"/>
      <c r="F16" s="307"/>
      <c r="G16" s="3"/>
    </row>
    <row r="17" spans="1:8" ht="13.5" customHeight="1" x14ac:dyDescent="0.2">
      <c r="A17" s="311" t="s">
        <v>193</v>
      </c>
      <c r="B17" s="307"/>
      <c r="C17" s="307"/>
      <c r="D17" s="307"/>
      <c r="E17" s="307"/>
      <c r="F17" s="307"/>
      <c r="G17" s="3"/>
    </row>
    <row r="18" spans="1:8" ht="13.5" customHeight="1" x14ac:dyDescent="0.2">
      <c r="A18" s="311" t="s">
        <v>194</v>
      </c>
      <c r="B18" s="307"/>
      <c r="C18" s="307"/>
      <c r="D18" s="307"/>
      <c r="E18" s="307"/>
      <c r="F18" s="307"/>
      <c r="G18" s="3"/>
    </row>
    <row r="19" spans="1:8" ht="13.5" customHeight="1" x14ac:dyDescent="0.2">
      <c r="A19" s="3"/>
      <c r="B19" s="3"/>
      <c r="C19" s="3"/>
      <c r="D19" s="3"/>
      <c r="E19" s="3"/>
      <c r="F19" s="3"/>
      <c r="G19" s="3"/>
    </row>
    <row r="20" spans="1:8" ht="13.5" customHeight="1" x14ac:dyDescent="0.2">
      <c r="A20" s="3"/>
      <c r="B20" s="303" t="s">
        <v>203</v>
      </c>
      <c r="C20" s="303"/>
      <c r="D20" s="220"/>
      <c r="E20" s="303" t="s">
        <v>204</v>
      </c>
      <c r="F20" s="303"/>
      <c r="G20" s="3"/>
    </row>
    <row r="21" spans="1:8" ht="12.75" x14ac:dyDescent="0.2">
      <c r="A21" s="3"/>
      <c r="B21" s="148">
        <v>2018</v>
      </c>
      <c r="C21" s="216">
        <v>2017</v>
      </c>
      <c r="D21" s="38"/>
      <c r="E21" s="287">
        <v>2018</v>
      </c>
      <c r="F21" s="216">
        <v>2017</v>
      </c>
      <c r="G21" s="25"/>
      <c r="H21" s="217"/>
    </row>
    <row r="22" spans="1:8" ht="13.5" customHeight="1" x14ac:dyDescent="0.2">
      <c r="A22" s="3"/>
      <c r="B22" s="304" t="s">
        <v>3</v>
      </c>
      <c r="C22" s="304"/>
      <c r="D22" s="304"/>
      <c r="E22" s="304"/>
      <c r="F22" s="304"/>
      <c r="G22" s="142"/>
      <c r="H22" s="142"/>
    </row>
    <row r="23" spans="1:8" ht="13.5" customHeight="1" x14ac:dyDescent="0.2">
      <c r="A23" s="10" t="s">
        <v>119</v>
      </c>
      <c r="B23" s="145">
        <f>'Statements of Operations'!B41</f>
        <v>123192</v>
      </c>
      <c r="C23" s="145">
        <f>'Statements of Operations'!C41</f>
        <v>68351</v>
      </c>
      <c r="D23" s="149"/>
      <c r="E23" s="145">
        <f>'Statements of Operations'!E41</f>
        <v>226483</v>
      </c>
      <c r="F23" s="145">
        <f>'Statements of Operations'!F41</f>
        <v>157179</v>
      </c>
      <c r="G23" s="3"/>
    </row>
    <row r="24" spans="1:8" ht="13.5" customHeight="1" x14ac:dyDescent="0.2">
      <c r="A24" s="9" t="s">
        <v>214</v>
      </c>
      <c r="B24" s="107">
        <f>'Statements of Operations'!B39</f>
        <v>-45215</v>
      </c>
      <c r="C24" s="107">
        <f>'Statements of Operations'!C39</f>
        <v>-1643</v>
      </c>
      <c r="D24" s="139"/>
      <c r="E24" s="107">
        <f>'Statements of Operations'!E39</f>
        <v>-49125</v>
      </c>
      <c r="F24" s="107">
        <f>'Statements of Operations'!F39</f>
        <v>-484</v>
      </c>
      <c r="G24" s="3"/>
    </row>
    <row r="25" spans="1:8" ht="13.5" customHeight="1" x14ac:dyDescent="0.2">
      <c r="A25" s="9" t="s">
        <v>10</v>
      </c>
      <c r="B25" s="107">
        <f>-'Statements of Operations'!B28</f>
        <v>3378</v>
      </c>
      <c r="C25" s="107">
        <f>-'Statements of Operations'!C28</f>
        <v>5252</v>
      </c>
      <c r="D25" s="107"/>
      <c r="E25" s="107">
        <f>-'Statements of Operations'!E28</f>
        <v>10998</v>
      </c>
      <c r="F25" s="107">
        <f>-'Statements of Operations'!F28</f>
        <v>19311</v>
      </c>
      <c r="G25" s="3"/>
    </row>
    <row r="26" spans="1:8" ht="13.5" customHeight="1" x14ac:dyDescent="0.2">
      <c r="A26" s="9" t="s">
        <v>7</v>
      </c>
      <c r="B26" s="107">
        <f>'Statements of Operations'!B14</f>
        <v>31775</v>
      </c>
      <c r="C26" s="107">
        <f>'Statements of Operations'!C14</f>
        <v>31914</v>
      </c>
      <c r="D26" s="139"/>
      <c r="E26" s="107">
        <f>'Statements of Operations'!E14</f>
        <v>92027</v>
      </c>
      <c r="F26" s="107">
        <f>'Statements of Operations'!F14</f>
        <v>94536</v>
      </c>
      <c r="G26" s="3"/>
    </row>
    <row r="27" spans="1:8" s="125" customFormat="1" ht="13.5" customHeight="1" x14ac:dyDescent="0.2">
      <c r="A27" s="9" t="s">
        <v>83</v>
      </c>
      <c r="B27" s="107">
        <f>'Statements of Operations'!B15</f>
        <v>6992</v>
      </c>
      <c r="C27" s="107">
        <f>'Statements of Operations'!C15</f>
        <v>7580</v>
      </c>
      <c r="D27" s="139"/>
      <c r="E27" s="107">
        <f>'Statements of Operations'!E15</f>
        <v>20977</v>
      </c>
      <c r="F27" s="107">
        <f>'Statements of Operations'!F15</f>
        <v>22826</v>
      </c>
      <c r="G27" s="99"/>
    </row>
    <row r="28" spans="1:8" ht="13.5" customHeight="1" x14ac:dyDescent="0.2">
      <c r="A28" s="9" t="s">
        <v>85</v>
      </c>
      <c r="B28" s="107">
        <f>'Statements of Operations'!B16</f>
        <v>3241</v>
      </c>
      <c r="C28" s="107">
        <f>'Statements of Operations'!C16</f>
        <v>13861</v>
      </c>
      <c r="D28" s="139"/>
      <c r="E28" s="107">
        <f>'Statements of Operations'!E16</f>
        <v>9540</v>
      </c>
      <c r="F28" s="107">
        <f>'Statements of Operations'!F16</f>
        <v>42903</v>
      </c>
      <c r="G28" s="3"/>
    </row>
    <row r="29" spans="1:8" s="297" customFormat="1" ht="13.5" customHeight="1" x14ac:dyDescent="0.2">
      <c r="A29" s="9" t="s">
        <v>210</v>
      </c>
      <c r="B29" s="107">
        <f>'Statements of Operations'!B19</f>
        <v>0</v>
      </c>
      <c r="C29" s="107">
        <f>'Statements of Operations'!C19</f>
        <v>-21574</v>
      </c>
      <c r="D29" s="139"/>
      <c r="E29" s="107">
        <f>'Statements of Operations'!E19</f>
        <v>0</v>
      </c>
      <c r="F29" s="107">
        <f>'Statements of Operations'!F19</f>
        <v>-21574</v>
      </c>
      <c r="G29" s="296"/>
    </row>
    <row r="30" spans="1:8" s="273" customFormat="1" ht="13.5" customHeight="1" x14ac:dyDescent="0.2">
      <c r="A30" s="9" t="s">
        <v>181</v>
      </c>
      <c r="B30" s="107">
        <f>-'Statements of Operations'!B33</f>
        <v>971</v>
      </c>
      <c r="C30" s="107">
        <f>-'Statements of Operations'!C33</f>
        <v>821</v>
      </c>
      <c r="D30" s="139"/>
      <c r="E30" s="107">
        <f>-'Statements of Operations'!E33</f>
        <v>2206</v>
      </c>
      <c r="F30" s="107">
        <f>-'Statements of Operations'!F33</f>
        <v>1774</v>
      </c>
      <c r="G30" s="272"/>
    </row>
    <row r="31" spans="1:8" s="50" customFormat="1" ht="13.5" customHeight="1" x14ac:dyDescent="0.2">
      <c r="A31" s="143" t="s">
        <v>76</v>
      </c>
      <c r="B31" s="107">
        <f>-'Statements of Operations'!B34</f>
        <v>0</v>
      </c>
      <c r="C31" s="107">
        <f>-'Statements of Operations'!C34</f>
        <v>486</v>
      </c>
      <c r="D31" s="139"/>
      <c r="E31" s="107">
        <f>-'Statements of Operations'!E34</f>
        <v>485</v>
      </c>
      <c r="F31" s="107">
        <f>-'Statements of Operations'!F34</f>
        <v>2547</v>
      </c>
      <c r="G31" s="49"/>
    </row>
    <row r="32" spans="1:8" s="91" customFormat="1" ht="13.5" customHeight="1" x14ac:dyDescent="0.2">
      <c r="A32" s="9" t="s">
        <v>77</v>
      </c>
      <c r="B32" s="73">
        <f>-'Statements of Operations'!B35</f>
        <v>560</v>
      </c>
      <c r="C32" s="73">
        <f>-'Statements of Operations'!C35</f>
        <v>43</v>
      </c>
      <c r="D32" s="139"/>
      <c r="E32" s="73">
        <f>-'Statements of Operations'!E35</f>
        <v>1601</v>
      </c>
      <c r="F32" s="73">
        <f>-'Statements of Operations'!F35</f>
        <v>2892</v>
      </c>
      <c r="G32" s="90"/>
    </row>
    <row r="33" spans="1:10" ht="13.5" customHeight="1" x14ac:dyDescent="0.2">
      <c r="A33" s="9"/>
      <c r="B33" s="206"/>
      <c r="C33" s="114"/>
      <c r="D33" s="116"/>
      <c r="E33" s="206"/>
      <c r="F33" s="114"/>
      <c r="G33" s="3"/>
    </row>
    <row r="34" spans="1:10" ht="13.5" customHeight="1" thickBot="1" x14ac:dyDescent="0.25">
      <c r="A34" s="10" t="s">
        <v>186</v>
      </c>
      <c r="B34" s="74">
        <f>SUM(B23:B33)</f>
        <v>124894</v>
      </c>
      <c r="C34" s="74">
        <f>SUM(C23:C33)</f>
        <v>105091</v>
      </c>
      <c r="D34" s="149"/>
      <c r="E34" s="74">
        <f>SUM(E23:E33)</f>
        <v>315192</v>
      </c>
      <c r="F34" s="74">
        <f>SUM(F23:F33)</f>
        <v>321910</v>
      </c>
      <c r="G34" s="11"/>
    </row>
    <row r="35" spans="1:10" ht="13.5" customHeight="1" thickTop="1" x14ac:dyDescent="0.2">
      <c r="A35" s="3"/>
      <c r="B35" s="215"/>
      <c r="C35" s="105"/>
      <c r="D35" s="116"/>
      <c r="E35" s="115"/>
      <c r="F35" s="116"/>
      <c r="G35" s="3"/>
    </row>
    <row r="36" spans="1:10" ht="13.5" customHeight="1" x14ac:dyDescent="0.2">
      <c r="A36" s="322" t="s">
        <v>173</v>
      </c>
      <c r="B36" s="323"/>
      <c r="C36" s="323"/>
      <c r="D36" s="3"/>
      <c r="E36" s="25"/>
      <c r="F36" s="25"/>
      <c r="G36" s="3"/>
    </row>
    <row r="37" spans="1:10" ht="13.5" customHeight="1" x14ac:dyDescent="0.2">
      <c r="A37" s="3"/>
      <c r="B37" s="3"/>
      <c r="C37" s="3"/>
      <c r="D37" s="3"/>
      <c r="E37" s="3"/>
      <c r="F37" s="3"/>
      <c r="G37" s="3"/>
    </row>
    <row r="38" spans="1:10" ht="13.5" customHeight="1" x14ac:dyDescent="0.2">
      <c r="A38" s="311" t="s">
        <v>174</v>
      </c>
      <c r="B38" s="323"/>
      <c r="C38" s="323"/>
      <c r="D38" s="307"/>
      <c r="E38" s="323"/>
      <c r="F38" s="323"/>
      <c r="G38" s="3"/>
    </row>
    <row r="39" spans="1:10" ht="13.5" customHeight="1" x14ac:dyDescent="0.2">
      <c r="A39" s="311" t="s">
        <v>175</v>
      </c>
      <c r="B39" s="323"/>
      <c r="C39" s="323"/>
      <c r="D39" s="307"/>
      <c r="E39" s="323"/>
      <c r="F39" s="323"/>
      <c r="G39" s="3"/>
    </row>
    <row r="40" spans="1:10" s="193" customFormat="1" ht="13.5" customHeight="1" x14ac:dyDescent="0.2">
      <c r="A40" s="311" t="s">
        <v>176</v>
      </c>
      <c r="B40" s="311"/>
      <c r="C40" s="311"/>
      <c r="D40" s="311"/>
      <c r="E40" s="311"/>
      <c r="F40" s="311"/>
      <c r="G40" s="192"/>
    </row>
    <row r="41" spans="1:10" s="193" customFormat="1" ht="13.5" customHeight="1" x14ac:dyDescent="0.2">
      <c r="A41" s="311" t="s">
        <v>177</v>
      </c>
      <c r="B41" s="323"/>
      <c r="C41" s="323"/>
      <c r="D41" s="307"/>
      <c r="E41" s="323"/>
      <c r="F41" s="323"/>
      <c r="G41" s="192"/>
    </row>
    <row r="42" spans="1:10" ht="13.5" customHeight="1" x14ac:dyDescent="0.2">
      <c r="A42" s="311" t="s">
        <v>117</v>
      </c>
      <c r="B42" s="323"/>
      <c r="C42" s="323"/>
      <c r="D42" s="307"/>
      <c r="E42" s="323"/>
      <c r="F42" s="323"/>
      <c r="G42" s="3"/>
    </row>
    <row r="43" spans="1:10" ht="13.5" customHeight="1" x14ac:dyDescent="0.2">
      <c r="A43" s="311" t="s">
        <v>178</v>
      </c>
      <c r="B43" s="323"/>
      <c r="C43" s="323"/>
      <c r="D43" s="307"/>
      <c r="E43" s="323"/>
      <c r="F43" s="323"/>
      <c r="G43" s="3"/>
    </row>
    <row r="44" spans="1:10" ht="13.5" customHeight="1" x14ac:dyDescent="0.2">
      <c r="A44" s="311" t="s">
        <v>179</v>
      </c>
      <c r="B44" s="323"/>
      <c r="C44" s="323"/>
      <c r="D44" s="307"/>
      <c r="E44" s="323"/>
      <c r="F44" s="323"/>
      <c r="G44" s="3"/>
    </row>
    <row r="45" spans="1:10" s="197" customFormat="1" ht="13.5" customHeight="1" x14ac:dyDescent="0.2">
      <c r="A45" s="198" t="s">
        <v>118</v>
      </c>
      <c r="B45" s="199"/>
      <c r="C45" s="199"/>
      <c r="D45" s="196"/>
      <c r="E45" s="199"/>
      <c r="F45" s="199"/>
      <c r="G45" s="196"/>
    </row>
    <row r="46" spans="1:10" s="193" customFormat="1" ht="13.5" customHeight="1" x14ac:dyDescent="0.2">
      <c r="A46" s="194"/>
      <c r="B46" s="195"/>
      <c r="C46" s="195"/>
      <c r="D46" s="192"/>
      <c r="E46" s="195"/>
      <c r="F46" s="195"/>
      <c r="G46" s="192"/>
    </row>
    <row r="47" spans="1:10" ht="12.75" x14ac:dyDescent="0.2">
      <c r="A47" s="3"/>
      <c r="B47" s="303" t="str">
        <f>B20</f>
        <v xml:space="preserve">Three Months Ended September 30, </v>
      </c>
      <c r="C47" s="303"/>
      <c r="D47" s="218"/>
      <c r="E47" s="303" t="str">
        <f>E20</f>
        <v xml:space="preserve">Nine Months Ended September 30, </v>
      </c>
      <c r="F47" s="303"/>
      <c r="G47" s="3"/>
      <c r="H47" s="321"/>
      <c r="I47" s="310"/>
      <c r="J47" s="310"/>
    </row>
    <row r="48" spans="1:10" ht="12.75" x14ac:dyDescent="0.2">
      <c r="A48" s="3"/>
      <c r="B48" s="148">
        <f>B21</f>
        <v>2018</v>
      </c>
      <c r="C48" s="122">
        <f>C21</f>
        <v>2017</v>
      </c>
      <c r="D48" s="150" t="s">
        <v>2</v>
      </c>
      <c r="E48" s="287">
        <f>E21</f>
        <v>2018</v>
      </c>
      <c r="F48" s="287">
        <f>F21</f>
        <v>2017</v>
      </c>
      <c r="G48" s="10" t="s">
        <v>2</v>
      </c>
      <c r="H48" s="4" t="s">
        <v>2</v>
      </c>
      <c r="I48" s="15" t="s">
        <v>2</v>
      </c>
      <c r="J48" s="4" t="s">
        <v>2</v>
      </c>
    </row>
    <row r="49" spans="1:10" ht="13.5" customHeight="1" x14ac:dyDescent="0.2">
      <c r="A49" s="3"/>
      <c r="B49" s="320" t="s">
        <v>3</v>
      </c>
      <c r="C49" s="320"/>
      <c r="D49" s="320"/>
      <c r="E49" s="320"/>
      <c r="F49" s="320"/>
      <c r="G49" s="3"/>
    </row>
    <row r="50" spans="1:10" ht="13.5" customHeight="1" x14ac:dyDescent="0.2">
      <c r="A50" s="104" t="s">
        <v>119</v>
      </c>
      <c r="B50" s="145">
        <f>B23</f>
        <v>123192</v>
      </c>
      <c r="C50" s="69">
        <f>C23</f>
        <v>68351</v>
      </c>
      <c r="D50" s="108"/>
      <c r="E50" s="145">
        <f>E23</f>
        <v>226483</v>
      </c>
      <c r="F50" s="69">
        <f>F23</f>
        <v>157179</v>
      </c>
      <c r="G50" s="3"/>
      <c r="H50" s="13"/>
      <c r="I50" s="3"/>
      <c r="J50" s="13"/>
    </row>
    <row r="51" spans="1:10" ht="13.5" customHeight="1" x14ac:dyDescent="0.2">
      <c r="A51" s="105"/>
      <c r="B51" s="207"/>
      <c r="C51" s="77"/>
      <c r="D51" s="57"/>
      <c r="E51" s="207"/>
      <c r="F51" s="142"/>
      <c r="G51" s="3"/>
      <c r="H51" s="3"/>
      <c r="I51" s="3"/>
      <c r="J51" s="3"/>
    </row>
    <row r="52" spans="1:10" ht="13.5" customHeight="1" x14ac:dyDescent="0.2">
      <c r="A52" s="59" t="s">
        <v>85</v>
      </c>
      <c r="B52" s="107">
        <f>B28</f>
        <v>3241</v>
      </c>
      <c r="C52" s="71">
        <f>C28</f>
        <v>13861</v>
      </c>
      <c r="D52" s="110"/>
      <c r="E52" s="107">
        <f>E28</f>
        <v>9540</v>
      </c>
      <c r="F52" s="71">
        <f>F28</f>
        <v>42903</v>
      </c>
      <c r="G52" s="82"/>
      <c r="H52" s="16"/>
      <c r="I52" s="3"/>
      <c r="J52" s="16"/>
    </row>
    <row r="53" spans="1:10" s="297" customFormat="1" ht="13.5" customHeight="1" x14ac:dyDescent="0.2">
      <c r="A53" s="9" t="s">
        <v>210</v>
      </c>
      <c r="B53" s="107">
        <f>B29</f>
        <v>0</v>
      </c>
      <c r="C53" s="71">
        <f>C29</f>
        <v>-21574</v>
      </c>
      <c r="D53" s="110"/>
      <c r="E53" s="107">
        <f>E29</f>
        <v>0</v>
      </c>
      <c r="F53" s="71">
        <f>F29</f>
        <v>-21574</v>
      </c>
      <c r="G53" s="82"/>
      <c r="H53" s="298"/>
      <c r="I53" s="296"/>
      <c r="J53" s="298"/>
    </row>
    <row r="54" spans="1:10" s="273" customFormat="1" ht="13.5" customHeight="1" x14ac:dyDescent="0.2">
      <c r="A54" s="59" t="s">
        <v>181</v>
      </c>
      <c r="B54" s="107">
        <f t="shared" ref="B54:C54" si="0">B30</f>
        <v>971</v>
      </c>
      <c r="C54" s="71">
        <f t="shared" si="0"/>
        <v>821</v>
      </c>
      <c r="D54" s="110"/>
      <c r="E54" s="107">
        <f t="shared" ref="E54:F54" si="1">E30</f>
        <v>2206</v>
      </c>
      <c r="F54" s="71">
        <f t="shared" si="1"/>
        <v>1774</v>
      </c>
      <c r="G54" s="82"/>
      <c r="H54" s="274"/>
      <c r="I54" s="272"/>
      <c r="J54" s="274"/>
    </row>
    <row r="55" spans="1:10" s="50" customFormat="1" ht="13.5" customHeight="1" x14ac:dyDescent="0.2">
      <c r="A55" s="143" t="s">
        <v>76</v>
      </c>
      <c r="B55" s="107">
        <f t="shared" ref="B55:C55" si="2">B31</f>
        <v>0</v>
      </c>
      <c r="C55" s="71">
        <f t="shared" si="2"/>
        <v>486</v>
      </c>
      <c r="D55" s="110"/>
      <c r="E55" s="107">
        <f t="shared" ref="E55:F55" si="3">E31</f>
        <v>485</v>
      </c>
      <c r="F55" s="71">
        <f t="shared" si="3"/>
        <v>2547</v>
      </c>
      <c r="G55" s="49"/>
      <c r="H55" s="51"/>
      <c r="I55" s="49"/>
      <c r="J55" s="51"/>
    </row>
    <row r="56" spans="1:10" s="91" customFormat="1" ht="13.5" customHeight="1" x14ac:dyDescent="0.2">
      <c r="A56" s="59" t="s">
        <v>77</v>
      </c>
      <c r="B56" s="107">
        <f t="shared" ref="B56:C56" si="4">B32</f>
        <v>560</v>
      </c>
      <c r="C56" s="71">
        <f t="shared" si="4"/>
        <v>43</v>
      </c>
      <c r="D56" s="110"/>
      <c r="E56" s="107">
        <f t="shared" ref="E56:F56" si="5">E32</f>
        <v>1601</v>
      </c>
      <c r="F56" s="71">
        <f t="shared" si="5"/>
        <v>2892</v>
      </c>
      <c r="G56" s="90"/>
      <c r="H56" s="92"/>
      <c r="I56" s="90"/>
      <c r="J56" s="92"/>
    </row>
    <row r="57" spans="1:10" ht="13.5" customHeight="1" x14ac:dyDescent="0.2">
      <c r="A57" s="59" t="s">
        <v>75</v>
      </c>
      <c r="B57" s="73">
        <f>-ROUND(SUM(B52:B56)*0.02,1)</f>
        <v>-95.4</v>
      </c>
      <c r="C57" s="73">
        <f>-ROUND(SUM(C52:C56)*0.02,1)</f>
        <v>127.3</v>
      </c>
      <c r="D57" s="111"/>
      <c r="E57" s="73">
        <f>-ROUND(SUM(E52:E56)*0.02,1)</f>
        <v>-276.60000000000002</v>
      </c>
      <c r="F57" s="73">
        <f>-ROUND(SUM(F52:F56)*0.02,1)</f>
        <v>-570.79999999999995</v>
      </c>
      <c r="G57" s="3"/>
      <c r="H57" s="17"/>
      <c r="I57" s="3"/>
      <c r="J57" s="16"/>
    </row>
    <row r="58" spans="1:10" ht="13.5" customHeight="1" x14ac:dyDescent="0.2">
      <c r="A58" s="117"/>
      <c r="B58" s="146"/>
      <c r="C58" s="46"/>
      <c r="D58" s="46"/>
      <c r="E58" s="146"/>
      <c r="F58" s="46"/>
      <c r="G58" s="3"/>
      <c r="H58" s="3"/>
      <c r="I58" s="3"/>
      <c r="J58" s="3"/>
    </row>
    <row r="59" spans="1:10" ht="13.5" customHeight="1" thickBot="1" x14ac:dyDescent="0.25">
      <c r="A59" s="104" t="s">
        <v>171</v>
      </c>
      <c r="B59" s="74">
        <f>SUM(B50:B57)</f>
        <v>127868.6</v>
      </c>
      <c r="C59" s="74">
        <f>SUM(C50:C57)</f>
        <v>62115.3</v>
      </c>
      <c r="D59" s="108"/>
      <c r="E59" s="74">
        <f>SUM(E50:E57)</f>
        <v>240038.39999999999</v>
      </c>
      <c r="F59" s="74">
        <f>SUM(F50:F57)</f>
        <v>185150.2</v>
      </c>
      <c r="G59" s="13"/>
      <c r="H59" s="13"/>
      <c r="I59" s="13"/>
      <c r="J59" s="13"/>
    </row>
    <row r="60" spans="1:10" ht="13.5" customHeight="1" thickTop="1" x14ac:dyDescent="0.2">
      <c r="A60" s="57"/>
      <c r="B60" s="146"/>
      <c r="C60" s="46"/>
      <c r="D60" s="46"/>
      <c r="E60" s="146"/>
      <c r="F60" s="46"/>
      <c r="G60" s="8"/>
      <c r="H60" s="18"/>
      <c r="I60" s="8"/>
      <c r="J60" s="18"/>
    </row>
    <row r="61" spans="1:10" ht="13.5" customHeight="1" thickBot="1" x14ac:dyDescent="0.25">
      <c r="A61" s="104" t="s">
        <v>13</v>
      </c>
      <c r="B61" s="208">
        <f>'Statements of Operations'!B49</f>
        <v>20208</v>
      </c>
      <c r="C61" s="126">
        <f>'Statements of Operations'!C49</f>
        <v>24135</v>
      </c>
      <c r="D61" s="132"/>
      <c r="E61" s="208">
        <f>'Statements of Operations'!E49</f>
        <v>21040</v>
      </c>
      <c r="F61" s="126">
        <f>'Statements of Operations'!F49</f>
        <v>24875</v>
      </c>
      <c r="G61" s="3"/>
      <c r="H61" s="16"/>
      <c r="I61" s="3"/>
      <c r="J61" s="16"/>
    </row>
    <row r="62" spans="1:10" ht="13.5" customHeight="1" thickTop="1" x14ac:dyDescent="0.2">
      <c r="A62" s="105"/>
      <c r="B62" s="116"/>
      <c r="C62" s="133"/>
      <c r="D62" s="132"/>
      <c r="E62" s="116"/>
      <c r="F62" s="133"/>
      <c r="G62" s="3"/>
    </row>
    <row r="63" spans="1:10" ht="13.5" customHeight="1" x14ac:dyDescent="0.2">
      <c r="A63" s="104" t="s">
        <v>124</v>
      </c>
      <c r="B63" s="209">
        <f>'Statements of Operations'!B45</f>
        <v>6.1</v>
      </c>
      <c r="C63" s="134">
        <f>'Statements of Operations'!C45</f>
        <v>2.83</v>
      </c>
      <c r="D63" s="135"/>
      <c r="E63" s="209">
        <f>'Statements of Operations'!E45</f>
        <v>10.76</v>
      </c>
      <c r="F63" s="134">
        <f>'Statements of Operations'!F45</f>
        <v>6.32</v>
      </c>
      <c r="G63" s="3"/>
      <c r="H63" s="12"/>
      <c r="I63" s="3"/>
      <c r="J63" s="12"/>
    </row>
    <row r="64" spans="1:10" ht="13.5" customHeight="1" x14ac:dyDescent="0.2">
      <c r="A64" s="105"/>
      <c r="B64" s="210"/>
      <c r="C64" s="78"/>
      <c r="D64" s="46"/>
      <c r="E64" s="210"/>
      <c r="F64" s="78"/>
      <c r="G64" s="3"/>
      <c r="H64" s="3"/>
      <c r="I64" s="3"/>
      <c r="J64" s="3"/>
    </row>
    <row r="65" spans="1:10" ht="13.5" customHeight="1" x14ac:dyDescent="0.2">
      <c r="A65" s="59" t="s">
        <v>85</v>
      </c>
      <c r="B65" s="211">
        <f>ROUND(B52/$B$61,2)</f>
        <v>0.16</v>
      </c>
      <c r="C65" s="136">
        <f>ROUND(C52/$C$61,2)</f>
        <v>0.56999999999999995</v>
      </c>
      <c r="D65" s="109"/>
      <c r="E65" s="211">
        <f>ROUND(E52/$B$61,2)</f>
        <v>0.47</v>
      </c>
      <c r="F65" s="136">
        <f>ROUND(F52/$C$61,2)</f>
        <v>1.78</v>
      </c>
      <c r="G65" s="19"/>
      <c r="H65" s="19"/>
      <c r="I65" s="3"/>
      <c r="J65" s="12"/>
    </row>
    <row r="66" spans="1:10" s="297" customFormat="1" ht="13.5" customHeight="1" x14ac:dyDescent="0.2">
      <c r="A66" s="9" t="s">
        <v>210</v>
      </c>
      <c r="B66" s="211">
        <f>ROUND(B53/$B$61,2)</f>
        <v>0</v>
      </c>
      <c r="C66" s="136">
        <f>ROUND(C53/$C$61,2)</f>
        <v>-0.89</v>
      </c>
      <c r="D66" s="109"/>
      <c r="E66" s="211">
        <f>ROUND(E53/$B$61,2)</f>
        <v>0</v>
      </c>
      <c r="F66" s="136">
        <f>ROUND(F53/$C$61,2)</f>
        <v>-0.89</v>
      </c>
      <c r="G66" s="19"/>
      <c r="H66" s="19"/>
      <c r="I66" s="296"/>
      <c r="J66" s="12"/>
    </row>
    <row r="67" spans="1:10" s="273" customFormat="1" ht="13.5" customHeight="1" x14ac:dyDescent="0.2">
      <c r="A67" s="59" t="s">
        <v>181</v>
      </c>
      <c r="B67" s="211">
        <f>ROUND(B54/$B$61,2)</f>
        <v>0.05</v>
      </c>
      <c r="C67" s="136">
        <f>ROUND(C54/$C$61,2)</f>
        <v>0.03</v>
      </c>
      <c r="D67" s="109"/>
      <c r="E67" s="211">
        <f>ROUND(E54/$B$61,2)</f>
        <v>0.11</v>
      </c>
      <c r="F67" s="136">
        <f>ROUND(F54/$C$61,2)</f>
        <v>7.0000000000000007E-2</v>
      </c>
      <c r="G67" s="19"/>
      <c r="H67" s="19"/>
      <c r="I67" s="272"/>
      <c r="J67" s="12"/>
    </row>
    <row r="68" spans="1:10" s="50" customFormat="1" ht="13.5" customHeight="1" x14ac:dyDescent="0.2">
      <c r="A68" s="143" t="s">
        <v>76</v>
      </c>
      <c r="B68" s="211">
        <f>ROUND(B55/$B$61,2)</f>
        <v>0</v>
      </c>
      <c r="C68" s="136">
        <f>ROUND(C55/$C$61,2)</f>
        <v>0.02</v>
      </c>
      <c r="D68" s="109"/>
      <c r="E68" s="211">
        <f>ROUND(E55/$B$61,2)</f>
        <v>0.02</v>
      </c>
      <c r="F68" s="136">
        <f>ROUND(F55/$C$61,2)</f>
        <v>0.11</v>
      </c>
      <c r="G68" s="19"/>
      <c r="H68" s="19"/>
      <c r="I68" s="49"/>
      <c r="J68" s="12"/>
    </row>
    <row r="69" spans="1:10" s="97" customFormat="1" ht="13.5" customHeight="1" x14ac:dyDescent="0.2">
      <c r="A69" s="59" t="s">
        <v>77</v>
      </c>
      <c r="B69" s="211">
        <f>ROUND(B56/$B$61,2)</f>
        <v>0.03</v>
      </c>
      <c r="C69" s="136">
        <f>ROUND(C56/$C$61,2)</f>
        <v>0</v>
      </c>
      <c r="D69" s="109"/>
      <c r="E69" s="211">
        <f>ROUND(E56/$B$61,2)</f>
        <v>0.08</v>
      </c>
      <c r="F69" s="136">
        <f>ROUND(F56/$C$61,2)</f>
        <v>0.12</v>
      </c>
      <c r="G69" s="19"/>
      <c r="H69" s="19"/>
      <c r="I69" s="96"/>
      <c r="J69" s="12"/>
    </row>
    <row r="70" spans="1:10" ht="13.5" customHeight="1" x14ac:dyDescent="0.2">
      <c r="A70" s="59" t="s">
        <v>48</v>
      </c>
      <c r="B70" s="211">
        <f>B71-SUM(B63:B69)</f>
        <v>-1.2377276326207109E-2</v>
      </c>
      <c r="C70" s="136">
        <f>C71-SUM(C63:C69)</f>
        <v>1.3660658794282465E-2</v>
      </c>
      <c r="D70" s="109"/>
      <c r="E70" s="211">
        <f>E71-SUM(E63:E69)</f>
        <v>-3.1330798479087818E-2</v>
      </c>
      <c r="F70" s="136">
        <f>F71-SUM(F63:F69)</f>
        <v>-6.677587939698526E-2</v>
      </c>
      <c r="G70" s="19"/>
      <c r="H70" s="19"/>
      <c r="I70" s="3"/>
      <c r="J70" s="19"/>
    </row>
    <row r="71" spans="1:10" ht="13.5" customHeight="1" thickBot="1" x14ac:dyDescent="0.25">
      <c r="A71" s="104" t="s">
        <v>125</v>
      </c>
      <c r="B71" s="212">
        <f>B59/B61</f>
        <v>6.3276227236737927</v>
      </c>
      <c r="C71" s="140">
        <f>C59/C61</f>
        <v>2.5736606587942821</v>
      </c>
      <c r="D71" s="112"/>
      <c r="E71" s="212">
        <f>E59/E61</f>
        <v>11.408669201520912</v>
      </c>
      <c r="F71" s="140">
        <f>F59/F61</f>
        <v>7.4432241206030154</v>
      </c>
      <c r="G71" s="3"/>
      <c r="H71" s="12"/>
      <c r="I71" s="3"/>
      <c r="J71" s="12"/>
    </row>
    <row r="72" spans="1:10" ht="13.5" customHeight="1" thickTop="1" x14ac:dyDescent="0.2">
      <c r="A72" s="46"/>
      <c r="B72" s="118"/>
      <c r="C72" s="119"/>
      <c r="D72" s="57"/>
      <c r="E72" s="120"/>
      <c r="F72" s="121"/>
    </row>
    <row r="73" spans="1:10" ht="13.5" hidden="1" customHeight="1" x14ac:dyDescent="0.2">
      <c r="A73" s="259" t="s">
        <v>146</v>
      </c>
      <c r="B73" s="257"/>
      <c r="C73" s="257"/>
      <c r="D73" s="257"/>
      <c r="E73" s="257"/>
      <c r="F73" s="257"/>
    </row>
    <row r="74" spans="1:10" ht="13.5" hidden="1" customHeight="1" x14ac:dyDescent="0.2">
      <c r="A74" s="257"/>
      <c r="B74" s="257"/>
      <c r="C74" s="257"/>
      <c r="D74" s="257"/>
      <c r="E74" s="257"/>
      <c r="F74" s="257"/>
    </row>
    <row r="75" spans="1:10" ht="13.5" hidden="1" customHeight="1" x14ac:dyDescent="0.2">
      <c r="A75" s="311" t="s">
        <v>148</v>
      </c>
      <c r="B75" s="311"/>
      <c r="C75" s="311"/>
      <c r="D75" s="311"/>
      <c r="E75" s="311"/>
      <c r="F75" s="311"/>
    </row>
    <row r="76" spans="1:10" ht="13.5" hidden="1" customHeight="1" x14ac:dyDescent="0.2">
      <c r="A76" s="311" t="s">
        <v>149</v>
      </c>
      <c r="B76" s="311"/>
      <c r="C76" s="311"/>
      <c r="D76" s="311"/>
      <c r="E76" s="311"/>
      <c r="F76" s="311"/>
    </row>
    <row r="77" spans="1:10" ht="13.5" hidden="1" customHeight="1" x14ac:dyDescent="0.2">
      <c r="A77" s="302" t="s">
        <v>150</v>
      </c>
      <c r="B77" s="302"/>
      <c r="C77" s="302"/>
      <c r="D77" s="302"/>
      <c r="E77" s="302"/>
      <c r="F77" s="302"/>
    </row>
    <row r="78" spans="1:10" ht="13.5" hidden="1" customHeight="1" x14ac:dyDescent="0.2">
      <c r="A78" s="254"/>
      <c r="B78" s="255"/>
      <c r="C78" s="255"/>
      <c r="D78" s="255"/>
      <c r="E78" s="255"/>
      <c r="F78" s="255"/>
    </row>
    <row r="79" spans="1:10" ht="13.5" hidden="1" customHeight="1" x14ac:dyDescent="0.2">
      <c r="A79" s="307"/>
      <c r="B79" s="307"/>
      <c r="C79" s="307"/>
      <c r="D79" s="307"/>
      <c r="E79" s="307"/>
      <c r="F79" s="307"/>
    </row>
    <row r="80" spans="1:10" ht="13.5" hidden="1" customHeight="1" x14ac:dyDescent="0.2">
      <c r="A80" s="257"/>
      <c r="B80" s="319" t="str">
        <f>B20</f>
        <v xml:space="preserve">Three Months Ended September 30, </v>
      </c>
      <c r="C80" s="319"/>
      <c r="D80" s="220"/>
      <c r="E80" s="152"/>
      <c r="F80" s="152"/>
    </row>
    <row r="81" spans="1:6" ht="12.75" hidden="1" x14ac:dyDescent="0.2">
      <c r="A81" s="257"/>
      <c r="B81" s="265">
        <f>B21</f>
        <v>2018</v>
      </c>
      <c r="C81" s="256">
        <f>C21</f>
        <v>2017</v>
      </c>
      <c r="D81" s="38"/>
      <c r="E81" s="217"/>
      <c r="F81" s="217"/>
    </row>
    <row r="82" spans="1:6" ht="13.5" hidden="1" customHeight="1" x14ac:dyDescent="0.2">
      <c r="A82" s="257"/>
      <c r="B82" s="308" t="s">
        <v>3</v>
      </c>
      <c r="C82" s="308"/>
      <c r="D82" s="147"/>
      <c r="E82" s="144"/>
      <c r="F82" s="144"/>
    </row>
    <row r="83" spans="1:6" ht="13.5" hidden="1" customHeight="1" x14ac:dyDescent="0.2">
      <c r="A83" s="260" t="s">
        <v>168</v>
      </c>
      <c r="B83" s="145">
        <f>'Statement of Cash Flows'!B28</f>
        <v>266115</v>
      </c>
      <c r="C83" s="145">
        <f>'Statement of Cash Flows'!C28</f>
        <v>302145</v>
      </c>
      <c r="D83" s="149"/>
      <c r="E83" s="145"/>
      <c r="F83" s="145"/>
    </row>
    <row r="84" spans="1:6" ht="13.5" hidden="1" customHeight="1" x14ac:dyDescent="0.2">
      <c r="A84" s="260" t="s">
        <v>147</v>
      </c>
      <c r="B84" s="73">
        <f>'Statement of Cash Flows'!B31</f>
        <v>-55742</v>
      </c>
      <c r="C84" s="73">
        <f>'Statement of Cash Flows'!C31</f>
        <v>-30503</v>
      </c>
      <c r="D84" s="139"/>
      <c r="E84" s="107"/>
      <c r="F84" s="107"/>
    </row>
    <row r="85" spans="1:6" ht="13.5" hidden="1" customHeight="1" x14ac:dyDescent="0.2">
      <c r="A85" s="9"/>
      <c r="B85" s="206"/>
      <c r="C85" s="206"/>
      <c r="D85" s="116"/>
      <c r="E85" s="206"/>
      <c r="F85" s="206"/>
    </row>
    <row r="86" spans="1:6" ht="13.5" hidden="1" customHeight="1" thickBot="1" x14ac:dyDescent="0.25">
      <c r="A86" s="258" t="s">
        <v>151</v>
      </c>
      <c r="B86" s="74">
        <f>SUM(B83:B85)</f>
        <v>210373</v>
      </c>
      <c r="C86" s="74">
        <f>SUM(C83:C85)</f>
        <v>271642</v>
      </c>
      <c r="D86" s="149"/>
      <c r="E86" s="145"/>
      <c r="F86" s="145"/>
    </row>
    <row r="87" spans="1:6" ht="13.5" hidden="1" customHeight="1" thickTop="1" x14ac:dyDescent="0.2">
      <c r="A87" s="257"/>
      <c r="B87" s="215"/>
      <c r="C87" s="255"/>
      <c r="D87" s="116"/>
      <c r="E87" s="115"/>
      <c r="F87" s="116"/>
    </row>
    <row r="88" spans="1:6" ht="13.5" hidden="1" customHeight="1" x14ac:dyDescent="0.2"/>
  </sheetData>
  <mergeCells count="35">
    <mergeCell ref="A14:F14"/>
    <mergeCell ref="A1:F1"/>
    <mergeCell ref="A2:F2"/>
    <mergeCell ref="A3:F3"/>
    <mergeCell ref="A13:F13"/>
    <mergeCell ref="A7:F7"/>
    <mergeCell ref="A8:F8"/>
    <mergeCell ref="A9:F9"/>
    <mergeCell ref="A11:F11"/>
    <mergeCell ref="A12:F12"/>
    <mergeCell ref="H47:J47"/>
    <mergeCell ref="A36:C36"/>
    <mergeCell ref="A38:F38"/>
    <mergeCell ref="A39:F39"/>
    <mergeCell ref="A41:F41"/>
    <mergeCell ref="A42:F42"/>
    <mergeCell ref="A43:F43"/>
    <mergeCell ref="A44:F44"/>
    <mergeCell ref="A40:F40"/>
    <mergeCell ref="B47:C47"/>
    <mergeCell ref="E47:F47"/>
    <mergeCell ref="A15:F15"/>
    <mergeCell ref="A16:F16"/>
    <mergeCell ref="A18:F18"/>
    <mergeCell ref="A17:F17"/>
    <mergeCell ref="B80:C80"/>
    <mergeCell ref="B20:C20"/>
    <mergeCell ref="E20:F20"/>
    <mergeCell ref="B22:F22"/>
    <mergeCell ref="B49:F49"/>
    <mergeCell ref="B82:C82"/>
    <mergeCell ref="A75:F75"/>
    <mergeCell ref="A76:F76"/>
    <mergeCell ref="A77:F77"/>
    <mergeCell ref="A79:F79"/>
  </mergeCells>
  <pageMargins left="0.7" right="0.7" top="0.75" bottom="0.75" header="0.3" footer="0.3"/>
  <pageSetup scale="64" orientation="portrait" r:id="rId1"/>
  <ignoredErrors>
    <ignoredError sqref="B72 B59:B60 B62 G61 B64 G63 C72:D72 C59:D60 C62:D62 D61 C64:D64 D63 D65 D70 G65 G70 D71 G71 G72 G59:G60 G62 G64 D68 G6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Statements of Operations</vt:lpstr>
      <vt:lpstr>Balance Sheet</vt:lpstr>
      <vt:lpstr>Statement of Cash Flows</vt:lpstr>
      <vt:lpstr>Debt Schedule</vt:lpstr>
      <vt:lpstr>Operational Performance</vt:lpstr>
      <vt:lpstr>NON-GAAP Sales</vt:lpstr>
      <vt:lpstr>NON-GAAP COGS</vt:lpstr>
      <vt:lpstr>Reconciliation page</vt:lpstr>
      <vt:lpstr>'NON-GAAP COGS'!OLE_LINK1</vt:lpstr>
      <vt:lpstr>'NON-GAAP Sales'!OLE_LINK1</vt:lpstr>
      <vt:lpstr>'Balance Sheet'!Print_Area</vt:lpstr>
      <vt:lpstr>'Reconciliation page'!Print_Area</vt:lpstr>
      <vt:lpstr>'Statement of Cash Flows'!Print_Area</vt:lpstr>
      <vt:lpstr>'Statements of Operations'!Print_Area</vt:lpstr>
      <vt:lpstr>'Reconciliation page'!Print_Titles</vt:lpstr>
    </vt:vector>
  </TitlesOfParts>
  <Company>Arch Coal,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Hillebrand, Jackie</dc:creator>
  <cp:lastModifiedBy>Szczepan, Greg</cp:lastModifiedBy>
  <cp:lastPrinted>2018-10-11T16:14:56Z</cp:lastPrinted>
  <dcterms:created xsi:type="dcterms:W3CDTF">2015-01-20T16:57:13Z</dcterms:created>
  <dcterms:modified xsi:type="dcterms:W3CDTF">2018-10-22T15:36:27Z</dcterms:modified>
</cp:coreProperties>
</file>