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W:\STL-Accounting\stlmacct\lorson\External Financial Reporting\2023\Q1-2023\"/>
    </mc:Choice>
  </mc:AlternateContent>
  <xr:revisionPtr revIDLastSave="0" documentId="13_ncr:1_{287C5CB4-43DE-41C3-94EF-34F319B4BA24}" xr6:coauthVersionLast="36" xr6:coauthVersionMax="36" xr10:uidLastSave="{00000000-0000-0000-0000-000000000000}"/>
  <bookViews>
    <workbookView xWindow="240" yWindow="360" windowWidth="21075" windowHeight="9540" tabRatio="944" xr2:uid="{00000000-000D-0000-FFFF-FFFF00000000}"/>
  </bookViews>
  <sheets>
    <sheet name="Income Statement" sheetId="1" r:id="rId1"/>
    <sheet name="Balance Sheet" sheetId="2" r:id="rId2"/>
    <sheet name="Statements of Cash Flows" sheetId="4" r:id="rId3"/>
    <sheet name="Debt Schedule" sheetId="5" r:id="rId4"/>
    <sheet name="Operational Performance" sheetId="11" r:id="rId5"/>
    <sheet name="NON-GAAP Sales" sheetId="12" r:id="rId6"/>
    <sheet name="NON-GAAP COGS" sheetId="13" r:id="rId7"/>
    <sheet name="Reconciliation page" sheetId="3" r:id="rId8"/>
  </sheets>
  <definedNames>
    <definedName name="_Order1" hidden="1">0</definedName>
    <definedName name="affdfdafdsfad" hidden="1">{"estimate",#N/A,FALSE,"930EST";"inv",#N/A,FALSE,"930EST";"realization",#N/A,FALSE,"930EST"}</definedName>
    <definedName name="affdfdafdsfad_1" hidden="1">{"estimate",#N/A,FALSE,"930EST";"inv",#N/A,FALSE,"930EST";"realization",#N/A,FALSE,"930EST"}</definedName>
    <definedName name="affdfdafdsfad_2" hidden="1">{"estimate",#N/A,FALSE,"930EST";"inv",#N/A,FALSE,"930EST";"realization",#N/A,FALSE,"930EST"}</definedName>
    <definedName name="dfddadfaf" hidden="1">{"estimate",#N/A,FALSE,"930EST";"inv",#N/A,FALSE,"930EST";"realization",#N/A,FALSE,"930EST"}</definedName>
    <definedName name="dfddadfaf_1" hidden="1">{"estimate",#N/A,FALSE,"930EST";"inv",#N/A,FALSE,"930EST";"realization",#N/A,FALSE,"930EST"}</definedName>
    <definedName name="dfddadfaf_2" hidden="1">{"estimate",#N/A,FALSE,"930EST";"inv",#N/A,FALSE,"930EST";"realization",#N/A,FALSE,"930EST"}</definedName>
    <definedName name="fadfdsafddsffsdad" hidden="1">{"estimate",#N/A,FALSE,"930EST";"inv",#N/A,FALSE,"930EST";"realization",#N/A,FALSE,"930EST"}</definedName>
    <definedName name="fadfdsafddsffsdad_1" hidden="1">{"estimate",#N/A,FALSE,"930EST";"inv",#N/A,FALSE,"930EST";"realization",#N/A,FALSE,"930EST"}</definedName>
    <definedName name="fadfdsafddsffsdad_2" hidden="1">{"estimate",#N/A,FALSE,"930EST";"inv",#N/A,FALSE,"930EST";"realization",#N/A,FALSE,"930EST"}</definedName>
    <definedName name="fafasdfasdfsdaf" hidden="1">{"estimate",#N/A,FALSE,"930EST";"inv",#N/A,FALSE,"930EST";"realization",#N/A,FALSE,"930EST"}</definedName>
    <definedName name="fafasdfasdfsdaf_1" hidden="1">{"estimate",#N/A,FALSE,"930EST";"inv",#N/A,FALSE,"930EST";"realization",#N/A,FALSE,"930EST"}</definedName>
    <definedName name="fafasdfasdfsdaf_2" hidden="1">{"estimate",#N/A,FALSE,"930EST";"inv",#N/A,FALSE,"930EST";"realization",#N/A,FALSE,"930EST"}</definedName>
    <definedName name="fafdfsdfasd" hidden="1">{"estimate",#N/A,FALSE,"930EST";"inv",#N/A,FALSE,"930EST";"realization",#N/A,FALSE,"930EST"}</definedName>
    <definedName name="fafdfsdfasd_1" hidden="1">{"estimate",#N/A,FALSE,"930EST";"inv",#N/A,FALSE,"930EST";"realization",#N/A,FALSE,"930EST"}</definedName>
    <definedName name="fafdfsdfasd_2" hidden="1">{"estimate",#N/A,FALSE,"930EST";"inv",#N/A,FALSE,"930EST";"realization",#N/A,FALSE,"930EST"}</definedName>
    <definedName name="fafdsfdfsdafsdfa" hidden="1">{"estimate",#N/A,FALSE,"930EST";"inv",#N/A,FALSE,"930EST";"realization",#N/A,FALSE,"930EST"}</definedName>
    <definedName name="fafdsfdfsdafsdfa_1" hidden="1">{"estimate",#N/A,FALSE,"930EST";"inv",#N/A,FALSE,"930EST";"realization",#N/A,FALSE,"930EST"}</definedName>
    <definedName name="fafdsfdfsdafsdfa_2" hidden="1">{"estimate",#N/A,FALSE,"930EST";"inv",#N/A,FALSE,"930EST";"realization",#N/A,FALSE,"930EST"}</definedName>
    <definedName name="fasdfdafsdafsdf" hidden="1">{"estimate",#N/A,FALSE,"930EST";"inv",#N/A,FALSE,"930EST";"realization",#N/A,FALSE,"930EST"}</definedName>
    <definedName name="fasdfdafsdafsdf_1" hidden="1">{"estimate",#N/A,FALSE,"930EST";"inv",#N/A,FALSE,"930EST";"realization",#N/A,FALSE,"930EST"}</definedName>
    <definedName name="fasdfdafsdafsdf_2" hidden="1">{"estimate",#N/A,FALSE,"930EST";"inv",#N/A,FALSE,"930EST";"realization",#N/A,FALSE,"930EST"}</definedName>
    <definedName name="fasdfsdsdafsdafsd" hidden="1">{"estimate",#N/A,FALSE,"930EST";"inv",#N/A,FALSE,"930EST";"realization",#N/A,FALSE,"930EST"}</definedName>
    <definedName name="fasdfsdsdafsdafsd_1" hidden="1">{"estimate",#N/A,FALSE,"930EST";"inv",#N/A,FALSE,"930EST";"realization",#N/A,FALSE,"930EST"}</definedName>
    <definedName name="fasdfsdsdafsdafsd_2" hidden="1">{"estimate",#N/A,FALSE,"930EST";"inv",#N/A,FALSE,"930EST";"realization",#N/A,FALSE,"930EST"}</definedName>
    <definedName name="gagfgafgsda" hidden="1">{"estimate",#N/A,FALSE,"930EST";"inv",#N/A,FALSE,"930EST";"realization",#N/A,FALSE,"930EST"}</definedName>
    <definedName name="gagfgafgsda_1" hidden="1">{"estimate",#N/A,FALSE,"930EST";"inv",#N/A,FALSE,"930EST";"realization",#N/A,FALSE,"930EST"}</definedName>
    <definedName name="gagfgafgsda_2" hidden="1">{"estimate",#N/A,FALSE,"930EST";"inv",#N/A,FALSE,"930EST";"realization",#N/A,FALSE,"930EST"}</definedName>
    <definedName name="ggdfgadfsdfa" hidden="1">{"estimate",#N/A,FALSE,"930EST";"inv",#N/A,FALSE,"930EST";"realization",#N/A,FALSE,"930EST"}</definedName>
    <definedName name="ggdfgadfsdfa_1" hidden="1">{"estimate",#N/A,FALSE,"930EST";"inv",#N/A,FALSE,"930EST";"realization",#N/A,FALSE,"930EST"}</definedName>
    <definedName name="ggdfgadfsdfa_2" hidden="1">{"estimate",#N/A,FALSE,"930EST";"inv",#N/A,FALSE,"930EST";"realization",#N/A,FALSE,"930EST"}</definedName>
    <definedName name="gsfsdgdfgsf" hidden="1">{"estimate",#N/A,FALSE,"930EST";"inv",#N/A,FALSE,"930EST";"realization",#N/A,FALSE,"930EST"}</definedName>
    <definedName name="gsfsdgdfgsf_1" hidden="1">{"estimate",#N/A,FALSE,"930EST";"inv",#N/A,FALSE,"930EST";"realization",#N/A,FALSE,"930EST"}</definedName>
    <definedName name="gsfsdgdfgsf_2" hidden="1">{"estimate",#N/A,FALSE,"930EST";"inv",#N/A,FALSE,"930EST";"realization",#N/A,FALSE,"930EST"}</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kjlk" hidden="1">{"estimate",#N/A,FALSE,"930EST";"inv",#N/A,FALSE,"930EST";"realization",#N/A,FALSE,"930EST"}</definedName>
    <definedName name="jkjlk_1" hidden="1">{"estimate",#N/A,FALSE,"930EST";"inv",#N/A,FALSE,"930EST";"realization",#N/A,FALSE,"930EST"}</definedName>
    <definedName name="jkjlk_2" hidden="1">{"estimate",#N/A,FALSE,"930EST";"inv",#N/A,FALSE,"930EST";"realization",#N/A,FALSE,"930EST"}</definedName>
    <definedName name="newmonth">"button1"</definedName>
    <definedName name="OLE_LINK1" localSheetId="6">'NON-GAAP COGS'!$A$7</definedName>
    <definedName name="OLE_LINK1" localSheetId="5">'NON-GAAP Sales'!$A$9</definedName>
    <definedName name="_xlnm.Print_Area" localSheetId="1">'Balance Sheet'!$A$1:$C$51</definedName>
    <definedName name="_xlnm.Print_Area" localSheetId="0">'Income Statement'!$A$1:$F$59</definedName>
    <definedName name="_xlnm.Print_Area" localSheetId="7">'Reconciliation page'!$A$5:$F$43</definedName>
    <definedName name="_xlnm.Print_Area" localSheetId="2">'Statements of Cash Flows'!$A$1:$C$60</definedName>
    <definedName name="_xlnm.Print_Titles" localSheetId="7">'Reconciliation page'!$1:$4</definedName>
    <definedName name="Reporg" hidden="1">{"estimate",#N/A,FALSE,"930EST";"inv",#N/A,FALSE,"930EST";"realization",#N/A,FALSE,"930EST"}</definedName>
    <definedName name="Reporg_1" hidden="1">{"estimate",#N/A,FALSE,"930EST";"inv",#N/A,FALSE,"930EST";"realization",#N/A,FALSE,"930EST"}</definedName>
    <definedName name="Reporg_2" hidden="1">{"estimate",#N/A,FALSE,"930EST";"inv",#N/A,FALSE,"930EST";"realization",#N/A,FALSE,"930EST"}</definedName>
    <definedName name="sdfadssdfas" hidden="1">{"estimate",#N/A,FALSE,"930EST";"inv",#N/A,FALSE,"930EST";"realization",#N/A,FALSE,"930EST"}</definedName>
    <definedName name="sdfadssdfas_1" hidden="1">{"estimate",#N/A,FALSE,"930EST";"inv",#N/A,FALSE,"930EST";"realization",#N/A,FALSE,"930EST"}</definedName>
    <definedName name="sdfadssdfas_2" hidden="1">{"estimate",#N/A,FALSE,"930EST";"inv",#N/A,FALSE,"930EST";"realization",#N/A,FALSE,"930EST"}</definedName>
    <definedName name="sdfassddsfasdfds" hidden="1">{"estimate",#N/A,FALSE,"930EST";"inv",#N/A,FALSE,"930EST";"realization",#N/A,FALSE,"930EST"}</definedName>
    <definedName name="sdfassddsfasdfds_1" hidden="1">{"estimate",#N/A,FALSE,"930EST";"inv",#N/A,FALSE,"930EST";"realization",#N/A,FALSE,"930EST"}</definedName>
    <definedName name="sdfassddsfasdfds_2" hidden="1">{"estimate",#N/A,FALSE,"930EST";"inv",#N/A,FALSE,"930EST";"realization",#N/A,FALSE,"930EST"}</definedName>
    <definedName name="sdfdaasdfsda" hidden="1">{"estimate",#N/A,FALSE,"930EST";"inv",#N/A,FALSE,"930EST";"realization",#N/A,FALSE,"930EST"}</definedName>
    <definedName name="sdfdaasdfsda_1" hidden="1">{"estimate",#N/A,FALSE,"930EST";"inv",#N/A,FALSE,"930EST";"realization",#N/A,FALSE,"930EST"}</definedName>
    <definedName name="sdfdaasdfsda_2" hidden="1">{"estimate",#N/A,FALSE,"930EST";"inv",#N/A,FALSE,"930EST";"realization",#N/A,FALSE,"930EST"}</definedName>
    <definedName name="sdfdsasdfsdasdfasdfd" hidden="1">{"estimate",#N/A,FALSE,"930EST";"inv",#N/A,FALSE,"930EST";"realization",#N/A,FALSE,"930EST"}</definedName>
    <definedName name="sdfdsasdfsdasdfasdfd_1" hidden="1">{"estimate",#N/A,FALSE,"930EST";"inv",#N/A,FALSE,"930EST";"realization",#N/A,FALSE,"930EST"}</definedName>
    <definedName name="sdfdsasdfsdasdfasdfd_2" hidden="1">{"estimate",#N/A,FALSE,"930EST";"inv",#N/A,FALSE,"930EST";"realization",#N/A,FALSE,"930EST"}</definedName>
    <definedName name="sdfgdfgfgsdgdf" hidden="1">{"estimate",#N/A,FALSE,"930EST";"inv",#N/A,FALSE,"930EST";"realization",#N/A,FALSE,"930EST"}</definedName>
    <definedName name="sdfgdfgfgsdgdf_1" hidden="1">{"estimate",#N/A,FALSE,"930EST";"inv",#N/A,FALSE,"930EST";"realization",#N/A,FALSE,"930EST"}</definedName>
    <definedName name="sdfgdfgfgsdgdf_2" hidden="1">{"estimate",#N/A,FALSE,"930EST";"inv",#N/A,FALSE,"930EST";"realization",#N/A,FALSE,"930EST"}</definedName>
    <definedName name="sgfgdfsgdfgsdf" hidden="1">{"estimate",#N/A,FALSE,"930EST";"inv",#N/A,FALSE,"930EST";"realization",#N/A,FALSE,"930EST"}</definedName>
    <definedName name="sgfgdfsgdfgsdf_1" hidden="1">{"estimate",#N/A,FALSE,"930EST";"inv",#N/A,FALSE,"930EST";"realization",#N/A,FALSE,"930EST"}</definedName>
    <definedName name="sgfgdfsgdfgsdf_2" hidden="1">{"estimate",#N/A,FALSE,"930EST";"inv",#N/A,FALSE,"930EST";"realization",#N/A,FALSE,"930EST"}</definedName>
    <definedName name="TableName">"Dummy"</definedName>
    <definedName name="wrn.3._.yr._.reports." hidden="1">{"Sum 3 yr",#N/A,FALSE,"Capex";"Sum 3 yr w qtrs",#N/A,FALSE,"Capex";"Detail 3 yr",#N/A,FALSE,"Capex"}</definedName>
    <definedName name="wrn.3._.yr._.reports._1" hidden="1">{"Sum 3 yr",#N/A,FALSE,"Capex";"Sum 3 yr w qtrs",#N/A,FALSE,"Capex";"Detail 3 yr",#N/A,FALSE,"Capex"}</definedName>
    <definedName name="wrn.3._.yr._.reports._2" hidden="1">{"Sum 3 yr",#N/A,FALSE,"Capex";"Sum 3 yr w qtrs",#N/A,FALSE,"Capex";"Detail 3 yr",#N/A,FALSE,"Capex"}</definedName>
    <definedName name="wrn.Book."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1"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2"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INSURANC." hidden="1">{#N/A,#N/A,FALSE,"PREPAID INS";#N/A,#N/A,FALSE,"EXCESS LIAB ALLOC";#N/A,#N/A,FALSE,"GENERAL LIAB ALLOC";#N/A,#N/A,FALSE,"AUTO LIAB ALLOC";#N/A,#N/A,FALSE,"ALL RISK ALLOC";#N/A,#N/A,FALSE,"BUS INTERRUPTION ALLOC";#N/A,#N/A,FALSE,"JOURNAL ENTRIES"}</definedName>
    <definedName name="wrn.INSURANC._1" hidden="1">{#N/A,#N/A,FALSE,"PREPAID INS";#N/A,#N/A,FALSE,"EXCESS LIAB ALLOC";#N/A,#N/A,FALSE,"GENERAL LIAB ALLOC";#N/A,#N/A,FALSE,"AUTO LIAB ALLOC";#N/A,#N/A,FALSE,"ALL RISK ALLOC";#N/A,#N/A,FALSE,"BUS INTERRUPTION ALLOC";#N/A,#N/A,FALSE,"JOURNAL ENTRIES"}</definedName>
    <definedName name="wrn.INSURANC._2" hidden="1">{#N/A,#N/A,FALSE,"PREPAID INS";#N/A,#N/A,FALSE,"EXCESS LIAB ALLOC";#N/A,#N/A,FALSE,"GENERAL LIAB ALLOC";#N/A,#N/A,FALSE,"AUTO LIAB ALLOC";#N/A,#N/A,FALSE,"ALL RISK ALLOC";#N/A,#N/A,FALSE,"BUS INTERRUPTION ALLOC";#N/A,#N/A,FALSE,"JOURNAL ENTRIES"}</definedName>
    <definedName name="wrn.print._.all._.reports." hidden="1">{"sum five year",#N/A,FALSE,"Capex";"sum all",#N/A,FALSE,"Capex";"detail",#N/A,FALSE,"Capex"}</definedName>
    <definedName name="wrn.print._.all._.reports._1" hidden="1">{"sum five year",#N/A,FALSE,"Capex";"sum all",#N/A,FALSE,"Capex";"detail",#N/A,FALSE,"Capex"}</definedName>
    <definedName name="wrn.print._.all._.reports._2" hidden="1">{"sum five year",#N/A,FALSE,"Capex";"sum all",#N/A,FALSE,"Capex";"detail",#N/A,FALSE,"Capex"}</definedName>
    <definedName name="wrn.Report." hidden="1">{"estimate",#N/A,FALSE,"930EST";"inv",#N/A,FALSE,"930EST";"realization",#N/A,FALSE,"930EST"}</definedName>
    <definedName name="wrn.Report._1" hidden="1">{"estimate",#N/A,FALSE,"930EST";"inv",#N/A,FALSE,"930EST";"realization",#N/A,FALSE,"930EST"}</definedName>
    <definedName name="wrn.Report._2" hidden="1">{"estimate",#N/A,FALSE,"930EST";"inv",#N/A,FALSE,"930EST";"realization",#N/A,FALSE,"930EST"}</definedName>
    <definedName name="wrn.UMWA._.ACCRUAL." hidden="1">{#N/A,#N/A,FALSE,"VACATION";#N/A,#N/A,FALSE,"CONTRACT AMORT";#N/A,#N/A,FALSE,"POSTRETIREMENT";#N/A,#N/A,FALSE,"COMPENSATED ABSENCE";#N/A,#N/A,FALSE,"BLACK LUNG RESERVE";#N/A,#N/A,FALSE,"JOURNAL ENTRIES"}</definedName>
    <definedName name="wrn.UMWA._.ACCRUAL._1" hidden="1">{#N/A,#N/A,FALSE,"VACATION";#N/A,#N/A,FALSE,"CONTRACT AMORT";#N/A,#N/A,FALSE,"POSTRETIREMENT";#N/A,#N/A,FALSE,"COMPENSATED ABSENCE";#N/A,#N/A,FALSE,"BLACK LUNG RESERVE";#N/A,#N/A,FALSE,"JOURNAL ENTRIES"}</definedName>
    <definedName name="wrn.UMWA._.ACCRUAL._2" hidden="1">{#N/A,#N/A,FALSE,"VACATION";#N/A,#N/A,FALSE,"CONTRACT AMORT";#N/A,#N/A,FALSE,"POSTRETIREMENT";#N/A,#N/A,FALSE,"COMPENSATED ABSENCE";#N/A,#N/A,FALSE,"BLACK LUNG RESERVE";#N/A,#N/A,FALSE,"JOURNAL ENTRIES"}</definedName>
  </definedNames>
  <calcPr calcId="191029"/>
</workbook>
</file>

<file path=xl/calcChain.xml><?xml version="1.0" encoding="utf-8"?>
<calcChain xmlns="http://schemas.openxmlformats.org/spreadsheetml/2006/main">
  <c r="C11" i="11" l="1"/>
  <c r="E20" i="11"/>
  <c r="B11" i="11"/>
  <c r="B12" i="11"/>
  <c r="B13" i="11"/>
  <c r="D11" i="11"/>
  <c r="E11" i="11" s="1"/>
  <c r="D12" i="11"/>
  <c r="E12" i="11" s="1"/>
  <c r="F11" i="11"/>
  <c r="G11" i="11" s="1"/>
  <c r="F12" i="11"/>
  <c r="G12" i="11" s="1"/>
  <c r="B18" i="11"/>
  <c r="C18" i="11" s="1"/>
  <c r="B19" i="11"/>
  <c r="C19" i="11" s="1"/>
  <c r="D18" i="11"/>
  <c r="E18" i="11" s="1"/>
  <c r="D19" i="11"/>
  <c r="E19" i="11" s="1"/>
  <c r="F18" i="11"/>
  <c r="G18" i="11" s="1"/>
  <c r="F19" i="11"/>
  <c r="G19" i="11"/>
  <c r="C12" i="11"/>
  <c r="G13" i="11" l="1"/>
  <c r="C20" i="11"/>
  <c r="B25" i="11"/>
  <c r="B26" i="4" l="1"/>
  <c r="B41" i="2"/>
  <c r="B32" i="2"/>
  <c r="B33" i="2"/>
  <c r="B19" i="1"/>
  <c r="E39" i="13" l="1"/>
  <c r="C17" i="12" l="1"/>
  <c r="B52" i="4" l="1"/>
  <c r="B13" i="4"/>
  <c r="B12" i="4"/>
  <c r="C14" i="13"/>
  <c r="D14" i="13"/>
  <c r="B14" i="13"/>
  <c r="F56" i="2" l="1"/>
  <c r="B26" i="2"/>
  <c r="B17" i="2"/>
  <c r="B13" i="1"/>
  <c r="B41" i="3" l="1"/>
  <c r="C13" i="4"/>
  <c r="C12" i="4"/>
  <c r="C10" i="4"/>
  <c r="C40" i="13" l="1"/>
  <c r="D40" i="13"/>
  <c r="B40" i="13"/>
  <c r="C27" i="13"/>
  <c r="B27" i="13"/>
  <c r="C58" i="4" l="1"/>
  <c r="B27" i="2" l="1"/>
  <c r="C27" i="2"/>
  <c r="F24" i="11" l="1"/>
  <c r="F16" i="11"/>
  <c r="F9" i="11"/>
  <c r="C31" i="13"/>
  <c r="B31" i="13"/>
  <c r="C44" i="13"/>
  <c r="C45" i="13" s="1"/>
  <c r="B44" i="13"/>
  <c r="B45" i="13" s="1"/>
  <c r="D37" i="13"/>
  <c r="C37" i="13"/>
  <c r="B37" i="13"/>
  <c r="C42" i="12"/>
  <c r="B42" i="12"/>
  <c r="D35" i="12"/>
  <c r="C35" i="12"/>
  <c r="B35" i="12"/>
  <c r="F20" i="11" l="1"/>
  <c r="G20" i="11" l="1"/>
  <c r="D16" i="11"/>
  <c r="C32" i="13"/>
  <c r="B32" i="13"/>
  <c r="D27" i="13"/>
  <c r="D24" i="13" s="1"/>
  <c r="C24" i="13"/>
  <c r="B24" i="13"/>
  <c r="D9" i="11"/>
  <c r="C30" i="12"/>
  <c r="B30" i="12"/>
  <c r="D24" i="12"/>
  <c r="C24" i="12"/>
  <c r="B24" i="12"/>
  <c r="E58" i="4"/>
  <c r="E57" i="4"/>
  <c r="E60" i="4" s="1"/>
  <c r="E49" i="4"/>
  <c r="E36" i="4"/>
  <c r="E13" i="4"/>
  <c r="E12" i="4"/>
  <c r="H37" i="1"/>
  <c r="H34" i="1"/>
  <c r="H27" i="1"/>
  <c r="H19" i="1"/>
  <c r="H20" i="1" s="1"/>
  <c r="H22" i="1" s="1"/>
  <c r="H29" i="1" s="1"/>
  <c r="H36" i="1" s="1"/>
  <c r="H39" i="1" s="1"/>
  <c r="E10" i="4" s="1"/>
  <c r="D13" i="11" l="1"/>
  <c r="D20" i="11"/>
  <c r="E27" i="4"/>
  <c r="E13" i="11"/>
  <c r="E51" i="4"/>
  <c r="E54" i="4" s="1"/>
  <c r="I19" i="1"/>
  <c r="D22" i="11" l="1"/>
  <c r="B33" i="3"/>
  <c r="D27" i="11" l="1"/>
  <c r="F45" i="4" l="1"/>
  <c r="I10" i="1" l="1"/>
  <c r="E43" i="13" l="1"/>
  <c r="E37" i="13"/>
  <c r="E40" i="13"/>
  <c r="E41" i="13"/>
  <c r="E42" i="13"/>
  <c r="E30" i="13"/>
  <c r="E29" i="13"/>
  <c r="E28" i="13"/>
  <c r="E27" i="13"/>
  <c r="E26" i="13"/>
  <c r="E28" i="12"/>
  <c r="E27" i="12"/>
  <c r="E26" i="12"/>
  <c r="E24" i="12"/>
  <c r="E40" i="12" l="1"/>
  <c r="E39" i="12"/>
  <c r="E38" i="12"/>
  <c r="E37" i="12"/>
  <c r="E35" i="12"/>
  <c r="E24" i="13" l="1"/>
  <c r="F13" i="11"/>
  <c r="F22" i="11" s="1"/>
  <c r="F27" i="11" s="1"/>
  <c r="I42" i="1" l="1"/>
  <c r="B42" i="1" s="1"/>
  <c r="F41" i="4" l="1"/>
  <c r="I37" i="1" l="1"/>
  <c r="B19" i="12" l="1"/>
  <c r="C34" i="1" l="1"/>
  <c r="F34" i="1"/>
  <c r="E34" i="1"/>
  <c r="E41" i="3" l="1"/>
  <c r="F12" i="4" l="1"/>
  <c r="I43" i="1" l="1"/>
  <c r="I41" i="1"/>
  <c r="F25" i="4" l="1"/>
  <c r="E13" i="13" l="1"/>
  <c r="C11" i="13" l="1"/>
  <c r="C18" i="13"/>
  <c r="B18" i="13"/>
  <c r="B19" i="13" s="1"/>
  <c r="I32" i="1" l="1"/>
  <c r="I33" i="1"/>
  <c r="I34" i="1" l="1"/>
  <c r="B34" i="1" l="1"/>
  <c r="F20" i="3" l="1"/>
  <c r="E20" i="3"/>
  <c r="C20" i="3"/>
  <c r="B20" i="3"/>
  <c r="I13" i="1" l="1"/>
  <c r="I14" i="1"/>
  <c r="I15" i="1"/>
  <c r="I16" i="1"/>
  <c r="I17" i="1"/>
  <c r="I18" i="1"/>
  <c r="F20" i="1"/>
  <c r="F22" i="1" s="1"/>
  <c r="E20" i="1"/>
  <c r="E22" i="1" s="1"/>
  <c r="I25" i="1"/>
  <c r="I26" i="1"/>
  <c r="F27" i="1"/>
  <c r="I35" i="1"/>
  <c r="I38" i="1"/>
  <c r="H44" i="1" l="1"/>
  <c r="F29" i="1"/>
  <c r="F36" i="1" s="1"/>
  <c r="I20" i="1"/>
  <c r="I22" i="1" s="1"/>
  <c r="E27" i="1"/>
  <c r="I27" i="1" s="1"/>
  <c r="F39" i="1" l="1"/>
  <c r="E29" i="1"/>
  <c r="F47" i="1" l="1"/>
  <c r="F48" i="1"/>
  <c r="F44" i="1"/>
  <c r="I29" i="1"/>
  <c r="E36" i="1"/>
  <c r="E39" i="1" l="1"/>
  <c r="I36" i="1"/>
  <c r="E47" i="1" l="1"/>
  <c r="E44" i="1"/>
  <c r="E48" i="1" s="1"/>
  <c r="I39" i="1"/>
  <c r="I44" i="1" s="1"/>
  <c r="F17" i="4" l="1"/>
  <c r="D13" i="12" l="1"/>
  <c r="F19" i="4" l="1"/>
  <c r="F18" i="4" l="1"/>
  <c r="E19" i="3" l="1"/>
  <c r="A35" i="13" l="1"/>
  <c r="A22" i="13"/>
  <c r="C19" i="13"/>
  <c r="E17" i="13"/>
  <c r="E16" i="13"/>
  <c r="E15" i="13"/>
  <c r="D11" i="13"/>
  <c r="B11" i="13"/>
  <c r="A9" i="13"/>
  <c r="C19" i="12"/>
  <c r="E17" i="12"/>
  <c r="E16" i="12"/>
  <c r="E15" i="12"/>
  <c r="C13" i="12"/>
  <c r="B13" i="12"/>
  <c r="B16" i="11"/>
  <c r="B9" i="11"/>
  <c r="B20" i="11" l="1"/>
  <c r="E14" i="13"/>
  <c r="E13" i="12"/>
  <c r="E11" i="13"/>
  <c r="C13" i="11" l="1"/>
  <c r="B22" i="11"/>
  <c r="F42" i="4" l="1"/>
  <c r="F40" i="4" l="1"/>
  <c r="F54" i="2" l="1"/>
  <c r="B58" i="4" l="1"/>
  <c r="F58" i="4" s="1"/>
  <c r="F31" i="4" l="1"/>
  <c r="F32" i="4"/>
  <c r="F33" i="4"/>
  <c r="F34" i="4"/>
  <c r="F35" i="4"/>
  <c r="F24" i="3" l="1"/>
  <c r="B49" i="4" l="1"/>
  <c r="B36" i="4" l="1"/>
  <c r="C36" i="4"/>
  <c r="D14" i="5" l="1"/>
  <c r="D16" i="5" s="1"/>
  <c r="C35" i="2" l="1"/>
  <c r="C42" i="2" s="1"/>
  <c r="F47" i="4" l="1"/>
  <c r="B35" i="2" l="1"/>
  <c r="F33" i="3" l="1"/>
  <c r="E33" i="3"/>
  <c r="C33" i="3"/>
  <c r="E24" i="3"/>
  <c r="C24" i="3"/>
  <c r="B24" i="11" l="1"/>
  <c r="B27" i="11" s="1"/>
  <c r="B24" i="3" l="1"/>
  <c r="F48" i="4"/>
  <c r="F46" i="4"/>
  <c r="F44" i="4"/>
  <c r="F43" i="4"/>
  <c r="F39" i="4"/>
  <c r="F30" i="4"/>
  <c r="F26" i="4"/>
  <c r="F24" i="4"/>
  <c r="F23" i="4"/>
  <c r="F22" i="4"/>
  <c r="F21" i="4"/>
  <c r="F14" i="4"/>
  <c r="F15" i="4"/>
  <c r="F16" i="4"/>
  <c r="F49" i="4" l="1"/>
  <c r="F36" i="4"/>
  <c r="F52" i="4"/>
  <c r="F13" i="4"/>
  <c r="F19" i="3" l="1"/>
  <c r="F18" i="3"/>
  <c r="E18" i="3"/>
  <c r="F17" i="3"/>
  <c r="E17" i="3"/>
  <c r="F15" i="3"/>
  <c r="E15" i="3"/>
  <c r="F16" i="3" l="1"/>
  <c r="E16" i="3" l="1"/>
  <c r="F14" i="3" l="1"/>
  <c r="F22" i="3" l="1"/>
  <c r="F56" i="1" s="1"/>
  <c r="F27" i="3" l="1"/>
  <c r="E14" i="3" l="1"/>
  <c r="E22" i="3" s="1"/>
  <c r="B19" i="3"/>
  <c r="E56" i="1" l="1"/>
  <c r="B57" i="4" l="1"/>
  <c r="F57" i="4" s="1"/>
  <c r="F60" i="4" s="1"/>
  <c r="C19" i="3" l="1"/>
  <c r="B60" i="4"/>
  <c r="C60" i="4"/>
  <c r="C18" i="3" l="1"/>
  <c r="B18" i="3"/>
  <c r="C17" i="3"/>
  <c r="B17" i="3"/>
  <c r="C15" i="3"/>
  <c r="B15" i="3"/>
  <c r="D22" i="5"/>
  <c r="C22" i="5"/>
  <c r="D21" i="5"/>
  <c r="C21" i="5"/>
  <c r="D19" i="5"/>
  <c r="C14" i="5"/>
  <c r="C49" i="4"/>
  <c r="C50" i="2"/>
  <c r="B50" i="2"/>
  <c r="B42" i="2"/>
  <c r="C18" i="2"/>
  <c r="B18" i="2"/>
  <c r="C27" i="1"/>
  <c r="C16" i="3" s="1"/>
  <c r="B27" i="1"/>
  <c r="B16" i="3" s="1"/>
  <c r="C20" i="1"/>
  <c r="C22" i="1" s="1"/>
  <c r="B20" i="1"/>
  <c r="B22" i="1" s="1"/>
  <c r="C16" i="5" l="1"/>
  <c r="D23" i="5"/>
  <c r="D24" i="5" s="1"/>
  <c r="C28" i="2"/>
  <c r="B29" i="1"/>
  <c r="C29" i="1"/>
  <c r="C36" i="1" s="1"/>
  <c r="C39" i="1" s="1"/>
  <c r="C23" i="5"/>
  <c r="B51" i="2"/>
  <c r="B28" i="2"/>
  <c r="C51" i="2"/>
  <c r="C19" i="5"/>
  <c r="C44" i="1" l="1"/>
  <c r="C27" i="4"/>
  <c r="C24" i="5"/>
  <c r="B36" i="1"/>
  <c r="B39" i="1" s="1"/>
  <c r="C14" i="3"/>
  <c r="C47" i="1"/>
  <c r="B10" i="4" l="1"/>
  <c r="F10" i="4" s="1"/>
  <c r="F55" i="2"/>
  <c r="F58" i="2" s="1"/>
  <c r="F27" i="4"/>
  <c r="B44" i="1"/>
  <c r="B14" i="3"/>
  <c r="B47" i="1"/>
  <c r="B27" i="4"/>
  <c r="B40" i="3" s="1"/>
  <c r="C51" i="4"/>
  <c r="C54" i="4" s="1"/>
  <c r="C22" i="3"/>
  <c r="F51" i="4" l="1"/>
  <c r="F54" i="4" s="1"/>
  <c r="B42" i="3"/>
  <c r="E40" i="3"/>
  <c r="E42" i="3" s="1"/>
  <c r="B22" i="3"/>
  <c r="B56" i="1" s="1"/>
  <c r="B51" i="4"/>
  <c r="C56" i="1"/>
  <c r="C27" i="3"/>
  <c r="E27" i="3"/>
  <c r="B54" i="4" l="1"/>
  <c r="B27" i="3"/>
</calcChain>
</file>

<file path=xl/sharedStrings.xml><?xml version="1.0" encoding="utf-8"?>
<sst xmlns="http://schemas.openxmlformats.org/spreadsheetml/2006/main" count="318" uniqueCount="203">
  <si>
    <t>(In thousands, except per share data)</t>
  </si>
  <si>
    <t>(Unaudited)</t>
  </si>
  <si>
    <t>Revenues</t>
  </si>
  <si>
    <t>Costs, expenses and other operating</t>
  </si>
  <si>
    <t>Depreciation, depletion and amortization</t>
  </si>
  <si>
    <t>Selling, general and administrative expenses</t>
  </si>
  <si>
    <t>Interest expense, net</t>
  </si>
  <si>
    <t>Interest expense</t>
  </si>
  <si>
    <t>Interest and investment income</t>
  </si>
  <si>
    <t>Condensed Consolidated Balance Sheets</t>
  </si>
  <si>
    <t>(In thousands)</t>
  </si>
  <si>
    <t>Assets</t>
  </si>
  <si>
    <t>Current assets</t>
  </si>
  <si>
    <t>Cash and cash equivalents</t>
  </si>
  <si>
    <t>Short term investments</t>
  </si>
  <si>
    <t>Trade accounts receivable</t>
  </si>
  <si>
    <t>Other receivables</t>
  </si>
  <si>
    <t>Inventories</t>
  </si>
  <si>
    <t>Deferred income taxes</t>
  </si>
  <si>
    <t>Other current assets</t>
  </si>
  <si>
    <t>Total current assets</t>
  </si>
  <si>
    <t>Property, plant and equipment, net</t>
  </si>
  <si>
    <t>Other assets</t>
  </si>
  <si>
    <t>Equity investments</t>
  </si>
  <si>
    <t>Other noncurrent assets</t>
  </si>
  <si>
    <t>Total other assets</t>
  </si>
  <si>
    <t>Total assets</t>
  </si>
  <si>
    <t>Accounts payable</t>
  </si>
  <si>
    <t>Accrued expenses and other current liabilities</t>
  </si>
  <si>
    <t>Current maturities of debt</t>
  </si>
  <si>
    <t>Total current liabilities</t>
  </si>
  <si>
    <t>Long-term debt</t>
  </si>
  <si>
    <t>Asset retirement obligations</t>
  </si>
  <si>
    <t>Accrued pension benefits</t>
  </si>
  <si>
    <t>Accrued postretirement benefits other than pension</t>
  </si>
  <si>
    <t>Accrued workers’ compensation</t>
  </si>
  <si>
    <t>Other noncurrent liabilities</t>
  </si>
  <si>
    <t>Common Stock</t>
  </si>
  <si>
    <t>Paid-in capital</t>
  </si>
  <si>
    <t>Reconciliation of Non-GAAP Measures</t>
  </si>
  <si>
    <t>Other</t>
  </si>
  <si>
    <t>Dividends paid</t>
  </si>
  <si>
    <t>Debt financing costs</t>
  </si>
  <si>
    <t>Investments in and advances to affiliates, net</t>
  </si>
  <si>
    <t>Capital expenditures</t>
  </si>
  <si>
    <t>Investing activities</t>
  </si>
  <si>
    <t>Accounts payable, accrued expenses and other current liabilities</t>
  </si>
  <si>
    <t>Receivables</t>
  </si>
  <si>
    <t>Changes in:</t>
  </si>
  <si>
    <t>Amortization relating to financing activities</t>
  </si>
  <si>
    <t>Employee stock-based compensation expense</t>
  </si>
  <si>
    <t>Operating activities</t>
  </si>
  <si>
    <t>Condensed Consolidated Statements of Cash Flows</t>
  </si>
  <si>
    <t>Schedule of Consolidated Debt</t>
  </si>
  <si>
    <t>December 31,</t>
  </si>
  <si>
    <t>Less: current maturities of debt</t>
  </si>
  <si>
    <t>Less liquid assets:</t>
  </si>
  <si>
    <t>Debt issuance costs</t>
  </si>
  <si>
    <t>Total debt (excluding debt issuance costs)</t>
  </si>
  <si>
    <t xml:space="preserve">Total liabilities </t>
  </si>
  <si>
    <t>Minimum royalty payments</t>
  </si>
  <si>
    <t>Accretion on asset retirement obligations</t>
  </si>
  <si>
    <t>Operational Performance</t>
  </si>
  <si>
    <t>(In millions, except per ton data)</t>
  </si>
  <si>
    <t>Tons Sold</t>
  </si>
  <si>
    <t>Segment Cash Margin</t>
  </si>
  <si>
    <t>Metallurgical</t>
  </si>
  <si>
    <t xml:space="preserve">Stockholders' equity </t>
  </si>
  <si>
    <t xml:space="preserve">Liabilities and Stockholders' Equity </t>
  </si>
  <si>
    <t>Income taxes, net</t>
  </si>
  <si>
    <t xml:space="preserve">Total stockholders’ equity </t>
  </si>
  <si>
    <t xml:space="preserve">Total liabilities and stockholders’ equity </t>
  </si>
  <si>
    <t>Retained earnings</t>
  </si>
  <si>
    <t>Treasury stock, at cost</t>
  </si>
  <si>
    <t>Dividends declared per common share</t>
  </si>
  <si>
    <t>Beg RE</t>
  </si>
  <si>
    <t>CY Net Income</t>
  </si>
  <si>
    <t xml:space="preserve">Dividends </t>
  </si>
  <si>
    <t>Dividends accrued (RSU's)</t>
  </si>
  <si>
    <t>Reconciliation of NON-GAAP Measures</t>
  </si>
  <si>
    <t>Consolidated</t>
  </si>
  <si>
    <t>Transportation costs</t>
  </si>
  <si>
    <t>Tons sold</t>
  </si>
  <si>
    <t>Other (operating overhead, certain actuarial, etc.)</t>
  </si>
  <si>
    <t>Non-GAAP Segment cash cost of coal sales</t>
  </si>
  <si>
    <t>Cash cost per ton sold</t>
  </si>
  <si>
    <t xml:space="preserve">Non-GAAP Segment coal sales per ton sold   </t>
  </si>
  <si>
    <t>Non-GAAP Segment cash cost per ton sold</t>
  </si>
  <si>
    <t>Restricted cash</t>
  </si>
  <si>
    <t>Payments on term loan due 2024</t>
  </si>
  <si>
    <t>Cash and cash equivalents, including restricted cash, end of period</t>
  </si>
  <si>
    <t>Adjusted EBITDA</t>
  </si>
  <si>
    <t>Proceeds from disposals and divestitures</t>
  </si>
  <si>
    <t xml:space="preserve">Three Months </t>
  </si>
  <si>
    <t>(A) Adjusted EBITDA is defined and reconciled under "Reconciliation of Non-GAAP Measures" later in this release.</t>
  </si>
  <si>
    <t>Short-term investments</t>
  </si>
  <si>
    <t>Cash used in investing activities</t>
  </si>
  <si>
    <t xml:space="preserve">Adjusted EBITDA (A) </t>
  </si>
  <si>
    <t>Cost of sales (exclusive of items shown separately below)</t>
  </si>
  <si>
    <t>(In thousands, except per ton data)</t>
  </si>
  <si>
    <t>EBITDA from idled or otherwise disposed operations</t>
  </si>
  <si>
    <t xml:space="preserve">Segment Adjusted EBITDA </t>
  </si>
  <si>
    <t>Total Segment Adjusted EBITDA</t>
  </si>
  <si>
    <t>Payments for taxes related to net share settlement of equity awards</t>
  </si>
  <si>
    <t>Adjustments to reconcile to cash from operating activities:</t>
  </si>
  <si>
    <t>Net payments on other debt</t>
  </si>
  <si>
    <t>Arch Resources, Inc. and Subsidiaries</t>
  </si>
  <si>
    <t>Current 3M Calc</t>
  </si>
  <si>
    <t>Cash provided by operating activities</t>
  </si>
  <si>
    <t>Financing activities</t>
  </si>
  <si>
    <t>Current liabilities</t>
  </si>
  <si>
    <t>Proceeds from sales of short-term investments</t>
  </si>
  <si>
    <t>Purchases of short-term investments</t>
  </si>
  <si>
    <t xml:space="preserve">Less: Adjustments to reconcile to Non-GAAP Segment cash cost of coal sales </t>
  </si>
  <si>
    <t>Included in the accompanying release, we have disclosed certain non-GAAP measures as defined by Regulation G.
The following reconciles these items to the most directly comparable GAAP measure.</t>
  </si>
  <si>
    <t xml:space="preserve">Segment Cash Cost of Sales </t>
  </si>
  <si>
    <t xml:space="preserve">Selling, general and administrative expenses </t>
  </si>
  <si>
    <t xml:space="preserve">Segment Sales </t>
  </si>
  <si>
    <t xml:space="preserve">Total Segment Cash Margin </t>
  </si>
  <si>
    <t xml:space="preserve">Segment Cash Margin </t>
  </si>
  <si>
    <t>Cash and cash equivalents, including restricted cash, beginning of period</t>
  </si>
  <si>
    <t xml:space="preserve">Cash and cash equivalents, including restricted cash, end of period </t>
  </si>
  <si>
    <t xml:space="preserve">Segment Adjusted EBITDA from coal operations </t>
  </si>
  <si>
    <t>Proceeds from convertible debt</t>
  </si>
  <si>
    <t>Purchase of capped call related to convertible debt</t>
  </si>
  <si>
    <t>Tax exempt bonds ($98.1 million face value)</t>
  </si>
  <si>
    <t>Thermal</t>
  </si>
  <si>
    <t>All Other</t>
  </si>
  <si>
    <t xml:space="preserve">(In thousands)  </t>
  </si>
  <si>
    <t xml:space="preserve">Less: Adjustments to reconcile to Non-GAAP Segment coal sales revenue   </t>
  </si>
  <si>
    <t xml:space="preserve">Coal risk management derivative settlements classified in "other income"  </t>
  </si>
  <si>
    <t xml:space="preserve">Transportation costs  </t>
  </si>
  <si>
    <t xml:space="preserve">Non-GAAP Segment coal sales revenues  </t>
  </si>
  <si>
    <t xml:space="preserve">Tons sold  </t>
  </si>
  <si>
    <t xml:space="preserve">Coal sales per ton sold  </t>
  </si>
  <si>
    <t>Weighted average shares outstanding</t>
  </si>
  <si>
    <t>Basic weighted average shares outstanding</t>
  </si>
  <si>
    <t>Diluted weighted average shares outstanding</t>
  </si>
  <si>
    <t>Reclamation work completed</t>
  </si>
  <si>
    <t>Proceeds from warrants exercised</t>
  </si>
  <si>
    <t>Contribution to fund asset retirement obligations</t>
  </si>
  <si>
    <t>Fund for asset retirement obligations</t>
  </si>
  <si>
    <t>FOR QTR CALC</t>
  </si>
  <si>
    <t>Interest on convertible debt</t>
  </si>
  <si>
    <t>Convertible debt deferred financing amortization</t>
  </si>
  <si>
    <t>Convertible Debt</t>
  </si>
  <si>
    <t>Nonoperating expenses</t>
  </si>
  <si>
    <t>Accumulated other comprehensive income</t>
  </si>
  <si>
    <t>Diesel fuel risk management derivative settlements classified in "other income"</t>
  </si>
  <si>
    <t>Net loss resulting from early retirement of debt</t>
  </si>
  <si>
    <t>Coal derivative assets and liabilities, including margin account</t>
  </si>
  <si>
    <t>Discretionary cash flow</t>
  </si>
  <si>
    <t>Cash flow from operating activities</t>
  </si>
  <si>
    <t>Less: Capital expenditures</t>
  </si>
  <si>
    <t>Income from operations</t>
  </si>
  <si>
    <t>Income before nonoperating expenses</t>
  </si>
  <si>
    <t>Income before income taxes</t>
  </si>
  <si>
    <t>Net income</t>
  </si>
  <si>
    <t>Net income for diluted EPS</t>
  </si>
  <si>
    <t>Net income per common share</t>
  </si>
  <si>
    <t>Basic earnings per share</t>
  </si>
  <si>
    <t>Diluted earnings per share</t>
  </si>
  <si>
    <t>Net (cash) debt</t>
  </si>
  <si>
    <t>Calculation of net (cash) debt</t>
  </si>
  <si>
    <t>Non-GAAP Segment coal sales per ton sold is calculated as segment coal sales revenues divided by segment tons sold. Segment coal sales revenues are adjusted for transportation costs, and may be adjusted for other items that, due to generally accepted accounting principles, are classified in “other income” on the consolidated Income Statements, but relate to price protection on the sale of coal. Segment coal sales per ton sold is not a measure of financial performance in accordance with generally accepted accounting principles. We believe segment coal sales per ton sold provides useful information to investors as it better reflects our revenue for the quality of coal sold and our operating results by including all income from coal sales. The adjustments made to arrive at these measures are significant in understanding and assessing our financial condition. Therefore, segment coal sales revenues should not be considered in isolation, nor as an alternative to coal sales revenues under generally accepted accounting principles.</t>
  </si>
  <si>
    <t xml:space="preserve">GAAP Revenues in the Condensed Consolidated Income Statements  </t>
  </si>
  <si>
    <t>Non-GAAP Segment cash cost per ton sold is calculated as segment cash cost of coal sales divided by segment tons sold. Segment cash cost of coal sales is adjusted for transportation costs, and may be adjusted for other items that, due to generally accepted accounting principles, are classified in “other income” on the consolidated Income Statements, but relate directly to the costs incurred to produce coal. Segment cash cost per ton sold is not a measure of financial performance in accordance with generally accepted accounting principles. We believe segment cash cost per ton sold better reflects our controllable costs and our operating results by including all costs incurred to produce coal. The adjustments made to arrive at these measures are significant in understanding and assessing our financial condition. Therefore, segment cash cost of coal sales should not be considered in isolation, nor as an alternative to cost of sales under generally accepted accounting principles.</t>
  </si>
  <si>
    <t>GAAP Cost of sales in the Condensed Consolidated Income Statements</t>
  </si>
  <si>
    <t>Adjusted EBITDA is defined as net income attributable to the Company before the effect of net interest expense, income taxes, depreciation, depletion and amortization, accretion on asset retirement obligations and nonoperating expenses. Adjusted EBITDA may also be adjusted for items that may not reflect the trend of future results by excluding transactions that are not indicative of the Company's core operating performance.</t>
  </si>
  <si>
    <t>Adjusted EBITDA is not a measure of financial performance in accordance with generally accepted accounting principles, and items excluded from Adjusted EBITDA are significant in understanding and assessing our financial condition. Therefore, Adjusted EBITDA should not be considered in isolation, nor as an alternative to net income, income from operations, cash flows from operations or as a measure of our profitability, liquidity or performance under generally accepted accounting principles. The Company uses adjusted EBITDA to measure the operating performance of its segments and allocate resources to the segments. Furthermore, analogous measures are used by industry analysts and investors to evaluate our operating performance. Investors should be aware that our presentation of Adjusted EBITDA may not be comparable to similarly titled measures used by other companies. The table below shows how we calculate Adjusted EBITDA.</t>
  </si>
  <si>
    <t>Dividends reinvestment</t>
  </si>
  <si>
    <t>Payments on convertible debt</t>
  </si>
  <si>
    <t>Inducement payments on convertible debt</t>
  </si>
  <si>
    <t>Ended September 30, 2022</t>
  </si>
  <si>
    <t>Purchase of treasury stock</t>
  </si>
  <si>
    <t>09/30/2022 YTD</t>
  </si>
  <si>
    <t>Twelve Months Ended December 31,</t>
  </si>
  <si>
    <t>Ended December 31, 2022</t>
  </si>
  <si>
    <t xml:space="preserve">Nine Months </t>
  </si>
  <si>
    <t>Three Months Ended 
December 31, 2022</t>
  </si>
  <si>
    <t>Quarter ended December 31, 2022</t>
  </si>
  <si>
    <t>Loss on divestitures</t>
  </si>
  <si>
    <t xml:space="preserve">Coal sales revenues from idled or otherwise disposed operations </t>
  </si>
  <si>
    <t xml:space="preserve">Cost of coal sales from idled or otherwise disposed operations </t>
  </si>
  <si>
    <t xml:space="preserve">Three Months Ended March 31, </t>
  </si>
  <si>
    <t>March 31</t>
  </si>
  <si>
    <t>Three Months Ended March 31,</t>
  </si>
  <si>
    <t xml:space="preserve">March 31, </t>
  </si>
  <si>
    <t>Three Months Ended March 31, 2022</t>
  </si>
  <si>
    <t>Quarter ended March 31, 2022</t>
  </si>
  <si>
    <t>Quarter ended March 31, 2023</t>
  </si>
  <si>
    <r>
      <t>Term loan due 2024 (</t>
    </r>
    <r>
      <rPr>
        <sz val="10"/>
        <rFont val="Arial"/>
        <family val="2"/>
      </rPr>
      <t>$5.8</t>
    </r>
    <r>
      <rPr>
        <sz val="10"/>
        <color rgb="FF000000"/>
        <rFont val="Arial"/>
        <family val="2"/>
      </rPr>
      <t xml:space="preserve"> million face value)</t>
    </r>
  </si>
  <si>
    <t>Three Months Ended 
March 31, 2023</t>
  </si>
  <si>
    <t>Other operating income, net</t>
  </si>
  <si>
    <t>Cash used in financing activities</t>
  </si>
  <si>
    <t>Provision for income taxes</t>
  </si>
  <si>
    <t>Decrease in cash and cash equivalents, including restricted cash</t>
  </si>
  <si>
    <t xml:space="preserve">Convertible Debt </t>
  </si>
  <si>
    <t>Gain on disposals and divestitures, net</t>
  </si>
  <si>
    <t>Change in fair value of coal derivatives, net</t>
  </si>
  <si>
    <t>Non-service related pension and postretirement benefit credits (costs)</t>
  </si>
  <si>
    <t>Non-service related pension and postretirement benefit (credits) costs</t>
  </si>
  <si>
    <t>Condensed Consolidated Income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</si>
</sst>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quot;$&quot;* #,##0_);_(&quot;$&quot;* \(#,##0\);_(&quot;$&quot;* &quot;—&quot;_);_(@_)"/>
    <numFmt numFmtId="166" formatCode="_(* #,##0_);_(* \(#,##0\);_(* &quot;-&quot;??_);_(@_)"/>
    <numFmt numFmtId="167" formatCode="_(#,##0_);_(\(#,##0\);_(&quot;—&quot;_);_(@_)"/>
    <numFmt numFmtId="168" formatCode="_(#,##0_)_%;_(\(#,##0\)_%;_(&quot;—&quot;_);_(@_)"/>
    <numFmt numFmtId="169" formatCode="_(* #,##0.0_);_(* \(#,##0.0\);_(* &quot;-&quot;??_);_(@_)"/>
    <numFmt numFmtId="170" formatCode="_(&quot;$&quot;* #,##0.0_);_(&quot;$&quot;* \(#,##0.0\);_(&quot;$&quot;* &quot;-&quot;??_);_(@_)"/>
    <numFmt numFmtId="171" formatCode="#,##0.00;\(#,##0.00\)"/>
  </numFmts>
  <fonts count="25">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12"/>
      <color rgb="FF000000"/>
      <name val="Arial"/>
      <family val="2"/>
    </font>
    <font>
      <sz val="12"/>
      <color rgb="FF000000"/>
      <name val="Arial"/>
      <family val="2"/>
    </font>
    <font>
      <sz val="10"/>
      <color rgb="FF000000"/>
      <name val="Arial"/>
      <family val="2"/>
    </font>
    <font>
      <b/>
      <sz val="8"/>
      <color rgb="FF000000"/>
      <name val="Arial"/>
      <family val="2"/>
    </font>
    <font>
      <sz val="8"/>
      <color rgb="FF000000"/>
      <name val="Arial"/>
      <family val="2"/>
    </font>
    <font>
      <b/>
      <sz val="10"/>
      <color rgb="FF000000"/>
      <name val="Arial"/>
      <family val="2"/>
    </font>
    <font>
      <sz val="10"/>
      <name val="Arial"/>
      <family val="2"/>
    </font>
    <font>
      <sz val="9"/>
      <color indexed="8"/>
      <name val="Arial"/>
      <family val="2"/>
    </font>
    <font>
      <sz val="10"/>
      <color rgb="FF000000"/>
      <name val="Times New Roman"/>
      <family val="1"/>
    </font>
    <font>
      <sz val="10"/>
      <name val="Arial"/>
      <family val="2"/>
    </font>
    <font>
      <sz val="9"/>
      <color indexed="8"/>
      <name val="Arial"/>
      <family val="2"/>
    </font>
    <font>
      <sz val="10"/>
      <name val="Arial"/>
      <family val="2"/>
    </font>
    <font>
      <b/>
      <i/>
      <sz val="11"/>
      <color theme="1"/>
      <name val="Arial"/>
      <family val="2"/>
    </font>
    <font>
      <b/>
      <sz val="11"/>
      <color theme="1"/>
      <name val="Arial"/>
      <family val="2"/>
    </font>
    <font>
      <b/>
      <i/>
      <sz val="10"/>
      <name val="Arial"/>
      <family val="2"/>
    </font>
    <font>
      <sz val="10"/>
      <color indexed="8"/>
      <name val="Arial"/>
      <family val="2"/>
    </font>
    <font>
      <sz val="10"/>
      <color rgb="FF000000"/>
      <name val="Times New Roman"/>
      <family val="1"/>
    </font>
    <font>
      <sz val="10"/>
      <color rgb="FF000000"/>
      <name val="Arial Unicode MS"/>
      <family val="2"/>
    </font>
    <font>
      <b/>
      <sz val="10"/>
      <name val="Arial"/>
      <family val="2"/>
    </font>
    <font>
      <b/>
      <sz val="10"/>
      <color rgb="FFFF0000"/>
      <name val="Arial"/>
      <family val="2"/>
    </font>
  </fonts>
  <fills count="2">
    <fill>
      <patternFill patternType="none"/>
    </fill>
    <fill>
      <patternFill patternType="gray125"/>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double">
        <color auto="1"/>
      </bottom>
      <diagonal/>
    </border>
    <border>
      <left/>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46">
    <xf numFmtId="0" fontId="0"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171" fontId="12" fillId="0" borderId="0"/>
    <xf numFmtId="0" fontId="3" fillId="0" borderId="0"/>
    <xf numFmtId="0" fontId="11" fillId="0" borderId="0"/>
    <xf numFmtId="9" fontId="11" fillId="0" borderId="0" applyFont="0" applyFill="0" applyBorder="0" applyAlignment="0" applyProtection="0"/>
    <xf numFmtId="0" fontId="2" fillId="0" borderId="0"/>
    <xf numFmtId="0" fontId="14"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171" fontId="15" fillId="0" borderId="0"/>
    <xf numFmtId="0" fontId="13"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0" fontId="16"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171" fontId="1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9" fontId="21" fillId="0" borderId="0" applyFont="0" applyFill="0" applyBorder="0" applyAlignment="0" applyProtection="0"/>
  </cellStyleXfs>
  <cellXfs count="234">
    <xf numFmtId="0" fontId="0" fillId="0" borderId="0" xfId="0"/>
    <xf numFmtId="0" fontId="7" fillId="0" borderId="0" xfId="0" applyFont="1" applyAlignment="1">
      <alignment wrapText="1" indent="1"/>
    </xf>
    <xf numFmtId="167" fontId="7" fillId="0" borderId="0" xfId="0" applyNumberFormat="1" applyFont="1" applyAlignment="1"/>
    <xf numFmtId="0" fontId="7" fillId="0" borderId="0" xfId="0" applyFont="1" applyAlignment="1">
      <alignment wrapText="1" indent="2"/>
    </xf>
    <xf numFmtId="167" fontId="7" fillId="0" borderId="0" xfId="0" applyNumberFormat="1" applyFont="1" applyAlignment="1">
      <alignment horizontal="left"/>
    </xf>
    <xf numFmtId="0" fontId="6" fillId="0" borderId="0" xfId="0" applyFont="1" applyAlignment="1">
      <alignment horizontal="left"/>
    </xf>
    <xf numFmtId="0" fontId="10" fillId="0" borderId="0" xfId="0" applyFont="1" applyAlignment="1">
      <alignment wrapText="1"/>
    </xf>
    <xf numFmtId="0" fontId="7" fillId="0" borderId="0" xfId="0" applyFont="1" applyBorder="1" applyAlignment="1">
      <alignment horizontal="left"/>
    </xf>
    <xf numFmtId="0" fontId="7" fillId="0" borderId="0" xfId="0" applyFont="1" applyAlignment="1">
      <alignment wrapText="1" indent="3"/>
    </xf>
    <xf numFmtId="167" fontId="7" fillId="0" borderId="0" xfId="0" applyNumberFormat="1" applyFont="1" applyFill="1" applyBorder="1" applyAlignment="1"/>
    <xf numFmtId="167" fontId="7" fillId="0" borderId="0" xfId="0" applyNumberFormat="1" applyFont="1" applyFill="1" applyAlignment="1">
      <alignment horizontal="left"/>
    </xf>
    <xf numFmtId="0" fontId="10" fillId="0" borderId="0" xfId="0" applyFont="1" applyFill="1" applyAlignment="1">
      <alignment wrapText="1"/>
    </xf>
    <xf numFmtId="0" fontId="7" fillId="0" borderId="0" xfId="0" applyFont="1" applyFill="1" applyAlignment="1">
      <alignment wrapText="1" indent="1"/>
    </xf>
    <xf numFmtId="166" fontId="7" fillId="0" borderId="1" xfId="1" applyNumberFormat="1" applyFont="1" applyFill="1" applyBorder="1" applyAlignment="1">
      <alignment horizontal="right"/>
    </xf>
    <xf numFmtId="166" fontId="7" fillId="0" borderId="2" xfId="1" applyNumberFormat="1" applyFont="1" applyFill="1" applyBorder="1" applyAlignment="1">
      <alignment horizontal="right"/>
    </xf>
    <xf numFmtId="0" fontId="7" fillId="0" borderId="0" xfId="0" applyFont="1" applyFill="1" applyAlignment="1">
      <alignment wrapText="1" indent="2"/>
    </xf>
    <xf numFmtId="0" fontId="10" fillId="0" borderId="0" xfId="0" applyFont="1" applyFill="1" applyAlignment="1">
      <alignment horizontal="left"/>
    </xf>
    <xf numFmtId="166" fontId="7" fillId="0" borderId="0" xfId="1" applyNumberFormat="1" applyFont="1" applyFill="1" applyBorder="1" applyAlignment="1">
      <alignment horizontal="right"/>
    </xf>
    <xf numFmtId="0" fontId="10" fillId="0" borderId="0" xfId="0" applyFont="1" applyFill="1" applyAlignment="1">
      <alignment wrapText="1" indent="2"/>
    </xf>
    <xf numFmtId="164" fontId="7" fillId="0" borderId="4" xfId="2" applyNumberFormat="1" applyFont="1" applyFill="1" applyBorder="1" applyAlignment="1">
      <alignment horizontal="right"/>
    </xf>
    <xf numFmtId="165" fontId="7" fillId="0" borderId="4" xfId="0" applyNumberFormat="1" applyFont="1" applyFill="1" applyBorder="1" applyAlignment="1"/>
    <xf numFmtId="0" fontId="6" fillId="0" borderId="0" xfId="0" applyFont="1" applyFill="1" applyAlignment="1">
      <alignment horizontal="left"/>
    </xf>
    <xf numFmtId="166" fontId="7" fillId="0" borderId="0" xfId="1" applyNumberFormat="1" applyFont="1" applyFill="1" applyAlignment="1">
      <alignment horizontal="left"/>
    </xf>
    <xf numFmtId="166" fontId="7" fillId="0" borderId="0" xfId="1" applyNumberFormat="1" applyFont="1" applyFill="1" applyAlignment="1"/>
    <xf numFmtId="167" fontId="7" fillId="0" borderId="1" xfId="0" applyNumberFormat="1" applyFont="1" applyFill="1" applyBorder="1" applyAlignment="1"/>
    <xf numFmtId="166" fontId="7" fillId="0" borderId="1" xfId="1" applyNumberFormat="1" applyFont="1" applyFill="1" applyBorder="1" applyAlignment="1"/>
    <xf numFmtId="164" fontId="7" fillId="0" borderId="4" xfId="2" applyNumberFormat="1" applyFont="1" applyFill="1" applyBorder="1" applyAlignment="1"/>
    <xf numFmtId="166" fontId="7" fillId="0" borderId="2" xfId="1" applyNumberFormat="1" applyFont="1" applyFill="1" applyBorder="1" applyAlignment="1"/>
    <xf numFmtId="167" fontId="7" fillId="0" borderId="3" xfId="0" applyNumberFormat="1" applyFont="1" applyFill="1" applyBorder="1" applyAlignment="1"/>
    <xf numFmtId="165" fontId="7" fillId="0" borderId="0" xfId="0" applyNumberFormat="1" applyFont="1" applyFill="1" applyAlignment="1">
      <alignment horizontal="left"/>
    </xf>
    <xf numFmtId="166" fontId="7" fillId="0" borderId="0" xfId="0" applyNumberFormat="1" applyFont="1" applyAlignment="1">
      <alignment horizontal="left"/>
    </xf>
    <xf numFmtId="166" fontId="7" fillId="0" borderId="0" xfId="1" applyNumberFormat="1" applyFont="1" applyFill="1" applyBorder="1" applyAlignment="1"/>
    <xf numFmtId="168" fontId="7" fillId="0" borderId="0" xfId="0" applyNumberFormat="1" applyFont="1" applyFill="1" applyAlignment="1"/>
    <xf numFmtId="0" fontId="7" fillId="0" borderId="0" xfId="0" applyFont="1" applyFill="1" applyBorder="1" applyAlignment="1">
      <alignment horizontal="left"/>
    </xf>
    <xf numFmtId="0" fontId="7" fillId="0" borderId="0" xfId="0" applyFont="1" applyAlignment="1"/>
    <xf numFmtId="166" fontId="7" fillId="0" borderId="0" xfId="1" applyNumberFormat="1" applyFont="1" applyFill="1" applyBorder="1" applyAlignment="1">
      <alignment horizontal="left"/>
    </xf>
    <xf numFmtId="164" fontId="7" fillId="0" borderId="0" xfId="2" applyNumberFormat="1" applyFont="1" applyFill="1" applyBorder="1" applyAlignment="1"/>
    <xf numFmtId="164" fontId="7" fillId="0" borderId="0" xfId="2" applyNumberFormat="1" applyFont="1" applyFill="1" applyBorder="1" applyAlignment="1">
      <alignment horizontal="left"/>
    </xf>
    <xf numFmtId="0" fontId="8" fillId="0" borderId="0" xfId="0" applyFont="1" applyBorder="1" applyAlignment="1">
      <alignment horizontal="center"/>
    </xf>
    <xf numFmtId="0" fontId="8" fillId="0" borderId="0" xfId="0" quotePrefix="1" applyFont="1" applyBorder="1" applyAlignment="1">
      <alignment horizontal="center" wrapText="1"/>
    </xf>
    <xf numFmtId="165" fontId="7" fillId="0" borderId="0" xfId="0" applyNumberFormat="1" applyFont="1" applyFill="1" applyBorder="1" applyAlignment="1"/>
    <xf numFmtId="166" fontId="7" fillId="0" borderId="3" xfId="1" applyNumberFormat="1" applyFont="1" applyFill="1" applyBorder="1" applyAlignment="1"/>
    <xf numFmtId="166" fontId="7" fillId="0" borderId="0" xfId="24" applyNumberFormat="1" applyFont="1" applyFill="1" applyBorder="1" applyAlignment="1"/>
    <xf numFmtId="170" fontId="7" fillId="0" borderId="0" xfId="25" applyNumberFormat="1" applyFont="1" applyFill="1" applyBorder="1" applyAlignment="1"/>
    <xf numFmtId="169" fontId="7" fillId="0" borderId="0" xfId="24" applyNumberFormat="1" applyFont="1" applyFill="1" applyBorder="1" applyAlignment="1"/>
    <xf numFmtId="44" fontId="7" fillId="0" borderId="4" xfId="2" applyFont="1" applyFill="1" applyBorder="1" applyAlignment="1">
      <alignment horizontal="right"/>
    </xf>
    <xf numFmtId="0" fontId="7" fillId="0" borderId="0" xfId="30" applyFont="1" applyAlignment="1">
      <alignment wrapText="1"/>
    </xf>
    <xf numFmtId="164" fontId="7" fillId="0" borderId="0" xfId="25" applyNumberFormat="1" applyFont="1" applyFill="1" applyBorder="1" applyAlignment="1"/>
    <xf numFmtId="0" fontId="7" fillId="0" borderId="0" xfId="30" applyFont="1" applyAlignment="1">
      <alignment wrapText="1" indent="2"/>
    </xf>
    <xf numFmtId="43" fontId="7" fillId="0" borderId="0" xfId="24" applyFont="1" applyFill="1" applyBorder="1" applyAlignment="1"/>
    <xf numFmtId="170" fontId="7" fillId="0" borderId="4" xfId="25" applyNumberFormat="1" applyFont="1" applyFill="1" applyBorder="1" applyAlignment="1"/>
    <xf numFmtId="0" fontId="7" fillId="0" borderId="0" xfId="30" applyFont="1" applyAlignment="1"/>
    <xf numFmtId="44" fontId="7" fillId="0" borderId="0" xfId="30" applyNumberFormat="1" applyFont="1" applyAlignment="1">
      <alignment wrapText="1"/>
    </xf>
    <xf numFmtId="164" fontId="7" fillId="0" borderId="0" xfId="2" applyNumberFormat="1" applyFont="1" applyFill="1" applyBorder="1" applyAlignment="1">
      <alignment horizontal="right"/>
    </xf>
    <xf numFmtId="0" fontId="7" fillId="0" borderId="0" xfId="0" applyFont="1" applyFill="1" applyBorder="1" applyAlignment="1">
      <alignment horizontal="right"/>
    </xf>
    <xf numFmtId="44" fontId="7" fillId="0" borderId="4" xfId="2" applyNumberFormat="1" applyFont="1" applyFill="1" applyBorder="1" applyAlignment="1">
      <alignment horizontal="right"/>
    </xf>
    <xf numFmtId="166" fontId="7" fillId="0" borderId="4" xfId="1" applyNumberFormat="1" applyFont="1" applyFill="1" applyBorder="1" applyAlignment="1">
      <alignment horizontal="right"/>
    </xf>
    <xf numFmtId="168" fontId="7" fillId="0" borderId="0" xfId="0" applyNumberFormat="1" applyFont="1" applyFill="1" applyBorder="1" applyAlignment="1"/>
    <xf numFmtId="167" fontId="7" fillId="0" borderId="0" xfId="0" applyNumberFormat="1" applyFont="1" applyFill="1" applyBorder="1" applyAlignment="1">
      <alignment horizontal="left"/>
    </xf>
    <xf numFmtId="165" fontId="7" fillId="0" borderId="0" xfId="0" applyNumberFormat="1" applyFont="1" applyFill="1" applyBorder="1" applyAlignment="1">
      <alignment horizontal="left"/>
    </xf>
    <xf numFmtId="0" fontId="8" fillId="0" borderId="0" xfId="0" applyFont="1" applyBorder="1" applyAlignment="1"/>
    <xf numFmtId="44" fontId="7" fillId="0" borderId="0" xfId="25" applyFont="1" applyFill="1" applyBorder="1" applyAlignment="1"/>
    <xf numFmtId="164" fontId="7" fillId="0" borderId="0" xfId="2" applyNumberFormat="1" applyFont="1" applyBorder="1"/>
    <xf numFmtId="164" fontId="7" fillId="0" borderId="0" xfId="2" applyNumberFormat="1" applyFont="1" applyFill="1" applyBorder="1"/>
    <xf numFmtId="0" fontId="10" fillId="0" borderId="0" xfId="0" applyFont="1" applyAlignment="1">
      <alignment horizontal="left"/>
    </xf>
    <xf numFmtId="166" fontId="7" fillId="0" borderId="1" xfId="1" applyNumberFormat="1" applyFont="1" applyFill="1" applyBorder="1" applyAlignment="1">
      <alignment horizontal="left"/>
    </xf>
    <xf numFmtId="165" fontId="7" fillId="0" borderId="4" xfId="0" applyNumberFormat="1" applyFont="1" applyFill="1" applyBorder="1" applyAlignment="1">
      <alignment horizontal="left"/>
    </xf>
    <xf numFmtId="166" fontId="7" fillId="0" borderId="0" xfId="1" applyNumberFormat="1" applyFont="1" applyFill="1"/>
    <xf numFmtId="44" fontId="7" fillId="0" borderId="0" xfId="2" applyFont="1" applyFill="1" applyBorder="1"/>
    <xf numFmtId="164" fontId="7" fillId="0" borderId="5" xfId="2" applyNumberFormat="1" applyFont="1" applyFill="1" applyBorder="1"/>
    <xf numFmtId="0" fontId="8" fillId="0" borderId="1" xfId="0" applyFont="1" applyBorder="1" applyAlignment="1">
      <alignment horizontal="center" wrapText="1"/>
    </xf>
    <xf numFmtId="0" fontId="8" fillId="0" borderId="0" xfId="0" applyFont="1" applyAlignment="1">
      <alignment horizontal="center"/>
    </xf>
    <xf numFmtId="166" fontId="7" fillId="0" borderId="0" xfId="1" applyNumberFormat="1" applyFont="1" applyFill="1" applyBorder="1"/>
    <xf numFmtId="169" fontId="7" fillId="0" borderId="0" xfId="1" applyNumberFormat="1" applyFont="1" applyFill="1" applyBorder="1" applyAlignment="1"/>
    <xf numFmtId="0" fontId="9" fillId="0" borderId="0" xfId="0" applyFont="1" applyBorder="1" applyAlignment="1">
      <alignment wrapText="1"/>
    </xf>
    <xf numFmtId="164" fontId="7" fillId="0" borderId="0" xfId="0" applyNumberFormat="1" applyFont="1" applyFill="1" applyBorder="1" applyAlignment="1">
      <alignment horizontal="right"/>
    </xf>
    <xf numFmtId="164" fontId="7" fillId="0" borderId="4" xfId="0" applyNumberFormat="1" applyFont="1" applyFill="1" applyBorder="1" applyAlignment="1">
      <alignment horizontal="right"/>
    </xf>
    <xf numFmtId="164" fontId="7" fillId="0" borderId="4" xfId="0" applyNumberFormat="1" applyFont="1" applyFill="1" applyBorder="1" applyAlignment="1"/>
    <xf numFmtId="44" fontId="7" fillId="0" borderId="0" xfId="2" applyNumberFormat="1" applyFont="1" applyFill="1" applyBorder="1" applyAlignment="1">
      <alignment horizontal="right"/>
    </xf>
    <xf numFmtId="44" fontId="7" fillId="0" borderId="0" xfId="2" applyFont="1" applyFill="1" applyBorder="1" applyAlignment="1">
      <alignment horizontal="right"/>
    </xf>
    <xf numFmtId="169" fontId="7" fillId="0" borderId="0" xfId="1" applyNumberFormat="1" applyFont="1" applyFill="1" applyBorder="1"/>
    <xf numFmtId="165" fontId="7" fillId="0" borderId="0" xfId="0" applyNumberFormat="1" applyFont="1" applyAlignment="1">
      <alignment horizontal="left"/>
    </xf>
    <xf numFmtId="0" fontId="7" fillId="0" borderId="0" xfId="0" applyFont="1" applyFill="1" applyAlignment="1"/>
    <xf numFmtId="169" fontId="7" fillId="0" borderId="8" xfId="24" applyNumberFormat="1" applyFont="1" applyFill="1" applyBorder="1" applyAlignment="1"/>
    <xf numFmtId="166" fontId="7" fillId="0" borderId="8" xfId="1" applyNumberFormat="1" applyFont="1" applyFill="1" applyBorder="1" applyAlignment="1"/>
    <xf numFmtId="43" fontId="7" fillId="0" borderId="8" xfId="24" applyFont="1" applyFill="1" applyBorder="1" applyAlignment="1"/>
    <xf numFmtId="164" fontId="7" fillId="0" borderId="4" xfId="2" applyNumberFormat="1" applyFont="1" applyFill="1" applyBorder="1" applyAlignment="1">
      <alignment horizontal="left"/>
    </xf>
    <xf numFmtId="43" fontId="7" fillId="0" borderId="0" xfId="1" applyFont="1" applyFill="1" applyAlignment="1">
      <alignment horizontal="left"/>
    </xf>
    <xf numFmtId="44" fontId="7" fillId="0" borderId="0" xfId="0" applyNumberFormat="1" applyFont="1" applyFill="1" applyAlignment="1">
      <alignment horizontal="left"/>
    </xf>
    <xf numFmtId="3" fontId="7" fillId="0" borderId="0" xfId="0" applyNumberFormat="1" applyFont="1"/>
    <xf numFmtId="166" fontId="7" fillId="0" borderId="0" xfId="0" applyNumberFormat="1" applyFont="1" applyFill="1" applyAlignment="1">
      <alignment horizontal="left"/>
    </xf>
    <xf numFmtId="0" fontId="5" fillId="0" borderId="0" xfId="30" applyFont="1" applyAlignment="1"/>
    <xf numFmtId="0" fontId="7" fillId="0" borderId="0" xfId="0" applyFont="1" applyFill="1" applyAlignment="1">
      <alignment horizontal="left"/>
    </xf>
    <xf numFmtId="9" fontId="7" fillId="0" borderId="0" xfId="45" applyFont="1" applyAlignment="1">
      <alignment wrapText="1"/>
    </xf>
    <xf numFmtId="164" fontId="7" fillId="0" borderId="0" xfId="0" applyNumberFormat="1" applyFont="1" applyAlignment="1">
      <alignment wrapText="1"/>
    </xf>
    <xf numFmtId="166" fontId="7" fillId="0" borderId="0" xfId="0" applyNumberFormat="1" applyFont="1" applyAlignment="1">
      <alignment wrapText="1"/>
    </xf>
    <xf numFmtId="166" fontId="7" fillId="0" borderId="0" xfId="45" applyNumberFormat="1" applyFont="1" applyAlignment="1">
      <alignment wrapText="1"/>
    </xf>
    <xf numFmtId="166" fontId="7" fillId="0" borderId="0" xfId="1" applyNumberFormat="1" applyFont="1" applyAlignment="1">
      <alignment wrapText="1"/>
    </xf>
    <xf numFmtId="43" fontId="7" fillId="0" borderId="0" xfId="1" applyFont="1" applyAlignment="1">
      <alignment wrapText="1"/>
    </xf>
    <xf numFmtId="43" fontId="7" fillId="0" borderId="0" xfId="0" applyNumberFormat="1" applyFont="1" applyAlignment="1">
      <alignment wrapText="1"/>
    </xf>
    <xf numFmtId="0" fontId="7" fillId="0" borderId="0" xfId="0" applyFont="1" applyBorder="1" applyAlignment="1">
      <alignment wrapText="1"/>
    </xf>
    <xf numFmtId="0" fontId="7" fillId="0" borderId="0" xfId="30" applyFont="1" applyBorder="1"/>
    <xf numFmtId="0" fontId="8" fillId="0" borderId="0" xfId="0" applyFont="1" applyBorder="1" applyAlignment="1">
      <alignment horizontal="center" wrapText="1"/>
    </xf>
    <xf numFmtId="0" fontId="9" fillId="0" borderId="0" xfId="0" applyFont="1" applyFill="1" applyBorder="1" applyAlignment="1">
      <alignment horizontal="center" wrapText="1"/>
    </xf>
    <xf numFmtId="0" fontId="7" fillId="0" borderId="0" xfId="0" applyFont="1" applyFill="1" applyBorder="1" applyAlignment="1">
      <alignment wrapText="1"/>
    </xf>
    <xf numFmtId="165" fontId="7" fillId="0" borderId="0" xfId="0" applyNumberFormat="1" applyFont="1" applyFill="1" applyAlignment="1"/>
    <xf numFmtId="166" fontId="7" fillId="0" borderId="4" xfId="1" applyNumberFormat="1" applyFont="1" applyBorder="1" applyAlignment="1">
      <alignment wrapText="1"/>
    </xf>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wrapText="1"/>
    </xf>
    <xf numFmtId="0" fontId="8" fillId="0" borderId="8" xfId="0" applyFont="1" applyBorder="1" applyAlignment="1">
      <alignment horizontal="center"/>
    </xf>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wrapText="1"/>
    </xf>
    <xf numFmtId="164" fontId="7" fillId="0" borderId="5" xfId="2" applyNumberFormat="1" applyFont="1" applyFill="1" applyBorder="1" applyAlignment="1"/>
    <xf numFmtId="164" fontId="7" fillId="0" borderId="0" xfId="0" applyNumberFormat="1" applyFont="1" applyFill="1" applyBorder="1" applyAlignment="1"/>
    <xf numFmtId="164" fontId="7" fillId="0" borderId="4" xfId="0" applyNumberFormat="1" applyFont="1" applyFill="1" applyBorder="1" applyAlignment="1">
      <alignment wrapText="1"/>
    </xf>
    <xf numFmtId="164" fontId="7" fillId="0" borderId="0" xfId="0" applyNumberFormat="1" applyFont="1" applyAlignment="1">
      <alignment horizontal="left"/>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xf>
    <xf numFmtId="0" fontId="7" fillId="0" borderId="0" xfId="0" applyFont="1" applyAlignment="1">
      <alignment wrapText="1"/>
    </xf>
    <xf numFmtId="166" fontId="7" fillId="0" borderId="8" xfId="1" applyNumberFormat="1" applyFont="1" applyFill="1" applyBorder="1" applyAlignment="1">
      <alignment horizontal="right"/>
    </xf>
    <xf numFmtId="0" fontId="10" fillId="0" borderId="0" xfId="0" applyFont="1" applyAlignment="1">
      <alignment horizontal="center" wrapText="1"/>
    </xf>
    <xf numFmtId="44" fontId="7" fillId="0" borderId="0" xfId="0" applyNumberFormat="1" applyFont="1"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xf>
    <xf numFmtId="0" fontId="7" fillId="0" borderId="0" xfId="0" applyFont="1" applyAlignment="1">
      <alignment wrapText="1"/>
    </xf>
    <xf numFmtId="3" fontId="7" fillId="0" borderId="0" xfId="0" applyNumberFormat="1" applyFont="1" applyAlignment="1">
      <alignment horizontal="left"/>
    </xf>
    <xf numFmtId="166" fontId="7" fillId="0" borderId="0" xfId="0" applyNumberFormat="1" applyFont="1" applyFill="1" applyBorder="1" applyAlignment="1">
      <alignment horizontal="left"/>
    </xf>
    <xf numFmtId="44" fontId="7" fillId="0" borderId="0" xfId="0" applyNumberFormat="1" applyFont="1" applyFill="1" applyBorder="1" applyAlignment="1">
      <alignment horizontal="left"/>
    </xf>
    <xf numFmtId="0" fontId="7" fillId="0" borderId="0" xfId="0" applyFont="1" applyFill="1" applyAlignment="1">
      <alignment wrapText="1"/>
    </xf>
    <xf numFmtId="0" fontId="7" fillId="0" borderId="0" xfId="30" applyFont="1" applyAlignment="1">
      <alignment horizontal="left"/>
    </xf>
    <xf numFmtId="0" fontId="11" fillId="0" borderId="0" xfId="44" applyFont="1"/>
    <xf numFmtId="0" fontId="8" fillId="0" borderId="8" xfId="30" applyFont="1" applyBorder="1" applyAlignment="1"/>
    <xf numFmtId="166" fontId="20" fillId="0" borderId="0" xfId="3" applyNumberFormat="1" applyFont="1" applyFill="1" applyBorder="1" applyAlignment="1" applyProtection="1"/>
    <xf numFmtId="44" fontId="11" fillId="0" borderId="0" xfId="44" applyNumberFormat="1" applyFont="1"/>
    <xf numFmtId="0" fontId="19" fillId="0" borderId="0" xfId="44" applyFont="1" applyAlignment="1"/>
    <xf numFmtId="0" fontId="11" fillId="0" borderId="0" xfId="44" applyFont="1" applyAlignment="1"/>
    <xf numFmtId="0" fontId="17" fillId="0" borderId="0" xfId="3" applyFont="1" applyAlignment="1">
      <alignment wrapText="1"/>
    </xf>
    <xf numFmtId="0" fontId="18" fillId="0" borderId="6" xfId="3" applyFont="1" applyBorder="1" applyAlignment="1">
      <alignment horizontal="center" wrapText="1"/>
    </xf>
    <xf numFmtId="0" fontId="18" fillId="0" borderId="2" xfId="3" applyFont="1" applyBorder="1" applyAlignment="1">
      <alignment horizontal="center" wrapText="1"/>
    </xf>
    <xf numFmtId="0" fontId="18" fillId="0" borderId="7" xfId="3" applyFont="1" applyBorder="1" applyAlignment="1">
      <alignment horizontal="center" wrapText="1"/>
    </xf>
    <xf numFmtId="0" fontId="7" fillId="0" borderId="0" xfId="3" applyFont="1" applyAlignment="1">
      <alignment wrapText="1"/>
    </xf>
    <xf numFmtId="0" fontId="7" fillId="0" borderId="0" xfId="3" applyFont="1"/>
    <xf numFmtId="166" fontId="11" fillId="0" borderId="0" xfId="44" applyNumberFormat="1" applyFont="1"/>
    <xf numFmtId="0" fontId="7" fillId="0" borderId="0" xfId="3" applyFont="1" applyAlignment="1">
      <alignment horizontal="left" vertical="top" wrapText="1" indent="1"/>
    </xf>
    <xf numFmtId="0" fontId="7" fillId="0" borderId="0" xfId="3" applyFont="1" applyAlignment="1">
      <alignment horizontal="left" wrapText="1" indent="1"/>
    </xf>
    <xf numFmtId="0" fontId="7" fillId="0" borderId="0" xfId="3" applyFont="1" applyFill="1" applyAlignment="1">
      <alignment wrapText="1"/>
    </xf>
    <xf numFmtId="0" fontId="18" fillId="0" borderId="0" xfId="3" applyFont="1" applyFill="1" applyAlignment="1">
      <alignment wrapText="1"/>
    </xf>
    <xf numFmtId="0" fontId="18" fillId="0" borderId="0" xfId="3" applyFont="1" applyFill="1"/>
    <xf numFmtId="0" fontId="18" fillId="0" borderId="0" xfId="3" applyFont="1" applyFill="1" applyAlignment="1">
      <alignment horizontal="center"/>
    </xf>
    <xf numFmtId="0" fontId="18" fillId="0" borderId="0" xfId="3" applyFont="1" applyAlignment="1">
      <alignment wrapText="1"/>
    </xf>
    <xf numFmtId="0" fontId="18" fillId="0" borderId="0" xfId="3" applyFont="1"/>
    <xf numFmtId="0" fontId="18" fillId="0" borderId="0" xfId="3" applyFont="1" applyAlignment="1">
      <alignment horizontal="center"/>
    </xf>
    <xf numFmtId="164" fontId="11" fillId="0" borderId="0" xfId="44" applyNumberFormat="1" applyFont="1"/>
    <xf numFmtId="0" fontId="7" fillId="0" borderId="0" xfId="0" applyFont="1" applyFill="1" applyAlignment="1">
      <alignment wrapText="1"/>
    </xf>
    <xf numFmtId="0" fontId="7" fillId="0" borderId="0" xfId="0" applyFont="1" applyAlignment="1">
      <alignment wrapText="1"/>
    </xf>
    <xf numFmtId="0" fontId="0" fillId="0" borderId="0" xfId="0" applyAlignment="1">
      <alignment wrapText="1"/>
    </xf>
    <xf numFmtId="9" fontId="0" fillId="0" borderId="0" xfId="45" applyFont="1" applyAlignment="1">
      <alignment wrapText="1"/>
    </xf>
    <xf numFmtId="166" fontId="11" fillId="0" borderId="0" xfId="0" applyNumberFormat="1" applyFont="1"/>
    <xf numFmtId="166" fontId="11" fillId="0" borderId="8" xfId="0" applyNumberFormat="1" applyFont="1" applyBorder="1"/>
    <xf numFmtId="0" fontId="7" fillId="0" borderId="0" xfId="0" applyFont="1" applyAlignment="1">
      <alignment horizontal="left"/>
    </xf>
    <xf numFmtId="0" fontId="7" fillId="0" borderId="0" xfId="0" applyFont="1" applyAlignment="1">
      <alignment wrapText="1"/>
    </xf>
    <xf numFmtId="0" fontId="7" fillId="0" borderId="0" xfId="0" applyFont="1"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wrapText="1"/>
    </xf>
    <xf numFmtId="0" fontId="7" fillId="0" borderId="0" xfId="3" applyFont="1"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wrapText="1"/>
    </xf>
    <xf numFmtId="3" fontId="22" fillId="0" borderId="0" xfId="0" applyNumberFormat="1" applyFont="1"/>
    <xf numFmtId="0" fontId="23" fillId="0" borderId="0" xfId="0" applyFont="1" applyAlignment="1">
      <alignment horizontal="center"/>
    </xf>
    <xf numFmtId="0" fontId="7" fillId="0" borderId="0" xfId="0" applyFont="1" applyAlignment="1">
      <alignment horizontal="left"/>
    </xf>
    <xf numFmtId="0" fontId="7" fillId="0" borderId="0" xfId="0" applyFont="1" applyAlignment="1">
      <alignment wrapText="1"/>
    </xf>
    <xf numFmtId="0" fontId="7" fillId="0" borderId="0" xfId="0" applyFont="1" applyFill="1" applyAlignment="1">
      <alignment wrapText="1"/>
    </xf>
    <xf numFmtId="0" fontId="7" fillId="0" borderId="0" xfId="0" applyFont="1" applyAlignment="1">
      <alignment wrapText="1"/>
    </xf>
    <xf numFmtId="166" fontId="7" fillId="0" borderId="8" xfId="1" applyNumberFormat="1" applyFont="1" applyBorder="1" applyAlignment="1">
      <alignment wrapText="1"/>
    </xf>
    <xf numFmtId="0" fontId="24" fillId="0" borderId="0" xfId="0" applyFont="1" applyAlignment="1">
      <alignment wrapText="1"/>
    </xf>
    <xf numFmtId="0" fontId="7" fillId="0" borderId="0" xfId="0" applyFont="1" applyAlignment="1">
      <alignment horizontal="left" wrapText="1" inden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wrapText="1"/>
    </xf>
    <xf numFmtId="0" fontId="7" fillId="0" borderId="0" xfId="0" applyFont="1" applyAlignment="1">
      <alignment horizontal="center"/>
    </xf>
    <xf numFmtId="6" fontId="7" fillId="0" borderId="0" xfId="0" applyNumberFormat="1" applyFont="1" applyAlignment="1">
      <alignment wrapText="1"/>
    </xf>
    <xf numFmtId="9" fontId="24" fillId="0" borderId="0" xfId="45" applyFont="1" applyAlignment="1">
      <alignment horizontal="center" wrapText="1"/>
    </xf>
    <xf numFmtId="3" fontId="11" fillId="0" borderId="0" xfId="44" applyNumberFormat="1" applyFont="1"/>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wrapText="1"/>
    </xf>
    <xf numFmtId="0" fontId="8" fillId="0" borderId="8" xfId="0" applyFont="1" applyFill="1" applyBorder="1" applyAlignment="1">
      <alignment horizontal="center" wrapText="1"/>
    </xf>
    <xf numFmtId="0" fontId="8" fillId="0" borderId="1" xfId="0" applyFont="1" applyFill="1" applyBorder="1" applyAlignment="1">
      <alignment horizontal="center" wrapText="1"/>
    </xf>
    <xf numFmtId="164" fontId="7" fillId="0" borderId="0" xfId="2" applyNumberFormat="1" applyFont="1" applyFill="1" applyAlignment="1"/>
    <xf numFmtId="164" fontId="7" fillId="0" borderId="5" xfId="0" applyNumberFormat="1" applyFont="1" applyFill="1" applyBorder="1" applyAlignment="1">
      <alignment wrapText="1"/>
    </xf>
    <xf numFmtId="44" fontId="7" fillId="0" borderId="0" xfId="0" applyNumberFormat="1" applyFont="1" applyFill="1" applyBorder="1" applyAlignment="1">
      <alignment horizontal="right"/>
    </xf>
    <xf numFmtId="0" fontId="7" fillId="0" borderId="0" xfId="0" applyFont="1" applyAlignment="1">
      <alignment horizontal="left"/>
    </xf>
    <xf numFmtId="0" fontId="7" fillId="0" borderId="0" xfId="0" applyFont="1" applyAlignment="1">
      <alignment wrapText="1"/>
    </xf>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horizontal="left"/>
    </xf>
    <xf numFmtId="0" fontId="7" fillId="0" borderId="0" xfId="0" applyFont="1" applyAlignment="1">
      <alignment wrapText="1"/>
    </xf>
    <xf numFmtId="0" fontId="7" fillId="0" borderId="0" xfId="0" applyFont="1" applyFill="1" applyAlignment="1">
      <alignment wrapText="1"/>
    </xf>
    <xf numFmtId="0" fontId="17" fillId="0" borderId="0" xfId="3" applyFont="1" applyFill="1" applyAlignment="1">
      <alignment wrapText="1"/>
    </xf>
    <xf numFmtId="0" fontId="18" fillId="0" borderId="6" xfId="3" applyFont="1" applyFill="1" applyBorder="1" applyAlignment="1">
      <alignment horizontal="center" wrapText="1"/>
    </xf>
    <xf numFmtId="0" fontId="18" fillId="0" borderId="2" xfId="3" applyFont="1" applyFill="1" applyBorder="1" applyAlignment="1">
      <alignment horizontal="center" wrapText="1"/>
    </xf>
    <xf numFmtId="0" fontId="18" fillId="0" borderId="7" xfId="3" applyFont="1" applyFill="1" applyBorder="1" applyAlignment="1">
      <alignment horizontal="center" wrapText="1"/>
    </xf>
    <xf numFmtId="0" fontId="7" fillId="0" borderId="0" xfId="3" applyFont="1" applyFill="1"/>
    <xf numFmtId="0" fontId="7" fillId="0" borderId="0" xfId="0" applyFont="1" applyFill="1" applyAlignment="1">
      <alignment horizontal="left" wrapText="1" indent="1"/>
    </xf>
    <xf numFmtId="0" fontId="7" fillId="0" borderId="0" xfId="3" applyFont="1" applyFill="1" applyAlignment="1">
      <alignment horizontal="left" wrapText="1" indent="1"/>
    </xf>
    <xf numFmtId="0" fontId="9" fillId="0" borderId="3" xfId="0" applyFont="1" applyBorder="1" applyAlignment="1">
      <alignment horizontal="center" wrapText="1"/>
    </xf>
    <xf numFmtId="0" fontId="9" fillId="0" borderId="3" xfId="0" applyFont="1" applyBorder="1" applyAlignment="1">
      <alignment wrapText="1"/>
    </xf>
    <xf numFmtId="43" fontId="11" fillId="0" borderId="0" xfId="44" applyNumberFormat="1" applyFont="1"/>
    <xf numFmtId="166" fontId="11" fillId="0" borderId="8" xfId="0" applyNumberFormat="1" applyFont="1" applyFill="1" applyBorder="1"/>
    <xf numFmtId="166" fontId="11" fillId="0" borderId="0" xfId="0" applyNumberFormat="1" applyFont="1" applyFill="1"/>
    <xf numFmtId="0" fontId="9" fillId="0" borderId="3" xfId="0" applyFont="1" applyBorder="1" applyAlignment="1">
      <alignment horizontal="center" wrapText="1"/>
    </xf>
    <xf numFmtId="0" fontId="5" fillId="0" borderId="0" xfId="0" applyFont="1" applyAlignment="1">
      <alignment horizontal="center" wrapText="1"/>
    </xf>
    <xf numFmtId="0" fontId="7" fillId="0" borderId="0" xfId="0" applyFont="1" applyFill="1" applyAlignment="1">
      <alignment wrapText="1"/>
    </xf>
    <xf numFmtId="0" fontId="8" fillId="0" borderId="8" xfId="0" applyFont="1" applyBorder="1" applyAlignment="1">
      <alignment horizontal="center" wrapText="1"/>
    </xf>
    <xf numFmtId="0" fontId="9" fillId="0" borderId="3" xfId="0" applyFont="1" applyBorder="1" applyAlignment="1">
      <alignment horizontal="center" wrapText="1"/>
    </xf>
    <xf numFmtId="0" fontId="7" fillId="0" borderId="0" xfId="0" applyFont="1" applyAlignment="1">
      <alignment horizontal="left"/>
    </xf>
    <xf numFmtId="0" fontId="7" fillId="0" borderId="0" xfId="0" applyFont="1" applyAlignment="1">
      <alignment wrapText="1"/>
    </xf>
    <xf numFmtId="0" fontId="9" fillId="0" borderId="3" xfId="30" applyFont="1" applyBorder="1" applyAlignment="1">
      <alignment horizontal="center" wrapText="1"/>
    </xf>
    <xf numFmtId="0" fontId="5" fillId="0" borderId="0" xfId="30" applyFont="1" applyAlignment="1">
      <alignment horizontal="center" wrapText="1"/>
    </xf>
    <xf numFmtId="0" fontId="7" fillId="0" borderId="0" xfId="30" applyFont="1" applyAlignment="1">
      <alignment horizontal="left"/>
    </xf>
    <xf numFmtId="0" fontId="8" fillId="0" borderId="2" xfId="30" applyFont="1" applyBorder="1" applyAlignment="1">
      <alignment horizontal="center" wrapText="1"/>
    </xf>
    <xf numFmtId="0" fontId="7" fillId="0" borderId="0" xfId="3" applyFont="1" applyAlignment="1">
      <alignment horizontal="left" vertical="top" wrapText="1"/>
    </xf>
    <xf numFmtId="0" fontId="7" fillId="0" borderId="0" xfId="3" applyFont="1" applyAlignment="1">
      <alignment wrapText="1"/>
    </xf>
    <xf numFmtId="0" fontId="7" fillId="0" borderId="0" xfId="3" applyFont="1" applyAlignment="1">
      <alignment horizontal="left"/>
    </xf>
    <xf numFmtId="0" fontId="11" fillId="0" borderId="0" xfId="44" applyFont="1" applyAlignment="1">
      <alignment wrapText="1"/>
    </xf>
    <xf numFmtId="0" fontId="5" fillId="0" borderId="0" xfId="0" applyFont="1"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cellXfs>
  <cellStyles count="46">
    <cellStyle name="Comma" xfId="1" builtinId="3"/>
    <cellStyle name="Comma 2" xfId="4" xr:uid="{00000000-0005-0000-0000-000001000000}"/>
    <cellStyle name="Comma 3" xfId="5" xr:uid="{00000000-0005-0000-0000-000002000000}"/>
    <cellStyle name="Comma 3 2" xfId="28" xr:uid="{00000000-0005-0000-0000-000003000000}"/>
    <cellStyle name="Comma 3 2 2" xfId="42" xr:uid="{00000000-0005-0000-0000-000004000000}"/>
    <cellStyle name="Comma 3 3" xfId="20" xr:uid="{00000000-0005-0000-0000-000005000000}"/>
    <cellStyle name="Comma 3 3 2" xfId="38" xr:uid="{00000000-0005-0000-0000-000006000000}"/>
    <cellStyle name="Comma 3 4" xfId="32" xr:uid="{00000000-0005-0000-0000-000007000000}"/>
    <cellStyle name="Comma 4" xfId="6" xr:uid="{00000000-0005-0000-0000-000008000000}"/>
    <cellStyle name="Comma 5" xfId="24" xr:uid="{00000000-0005-0000-0000-000009000000}"/>
    <cellStyle name="Comma 6" xfId="16" xr:uid="{00000000-0005-0000-0000-00000A000000}"/>
    <cellStyle name="Currency" xfId="2" builtinId="4"/>
    <cellStyle name="Currency 2" xfId="7" xr:uid="{00000000-0005-0000-0000-00000C000000}"/>
    <cellStyle name="Currency 3" xfId="8" xr:uid="{00000000-0005-0000-0000-00000D000000}"/>
    <cellStyle name="Currency 3 2" xfId="29" xr:uid="{00000000-0005-0000-0000-00000E000000}"/>
    <cellStyle name="Currency 3 2 2" xfId="43" xr:uid="{00000000-0005-0000-0000-00000F000000}"/>
    <cellStyle name="Currency 3 3" xfId="21" xr:uid="{00000000-0005-0000-0000-000010000000}"/>
    <cellStyle name="Currency 3 3 2" xfId="39" xr:uid="{00000000-0005-0000-0000-000011000000}"/>
    <cellStyle name="Currency 3 4" xfId="33" xr:uid="{00000000-0005-0000-0000-000012000000}"/>
    <cellStyle name="Currency 4" xfId="9" xr:uid="{00000000-0005-0000-0000-000013000000}"/>
    <cellStyle name="Currency 5" xfId="25" xr:uid="{00000000-0005-0000-0000-000014000000}"/>
    <cellStyle name="Currency 6" xfId="17" xr:uid="{00000000-0005-0000-0000-000015000000}"/>
    <cellStyle name="Normal" xfId="0" builtinId="0"/>
    <cellStyle name="Normal 2" xfId="3" xr:uid="{00000000-0005-0000-0000-000017000000}"/>
    <cellStyle name="Normal 2 2" xfId="10" xr:uid="{00000000-0005-0000-0000-000018000000}"/>
    <cellStyle name="Normal 2 3" xfId="26" xr:uid="{00000000-0005-0000-0000-000019000000}"/>
    <cellStyle name="Normal 2 4" xfId="22" xr:uid="{00000000-0005-0000-0000-00001A000000}"/>
    <cellStyle name="Normal 2 4 2" xfId="40" xr:uid="{00000000-0005-0000-0000-00001B000000}"/>
    <cellStyle name="Normal 3" xfId="11" xr:uid="{00000000-0005-0000-0000-00001C000000}"/>
    <cellStyle name="Normal 3 2" xfId="27" xr:uid="{00000000-0005-0000-0000-00001D000000}"/>
    <cellStyle name="Normal 3 2 2" xfId="41" xr:uid="{00000000-0005-0000-0000-00001E000000}"/>
    <cellStyle name="Normal 3 3" xfId="19" xr:uid="{00000000-0005-0000-0000-00001F000000}"/>
    <cellStyle name="Normal 3 3 2" xfId="37" xr:uid="{00000000-0005-0000-0000-000020000000}"/>
    <cellStyle name="Normal 3 4" xfId="34" xr:uid="{00000000-0005-0000-0000-000021000000}"/>
    <cellStyle name="Normal 4" xfId="12" xr:uid="{00000000-0005-0000-0000-000022000000}"/>
    <cellStyle name="Normal 5" xfId="23" xr:uid="{00000000-0005-0000-0000-000023000000}"/>
    <cellStyle name="Normal 5 2" xfId="30" xr:uid="{00000000-0005-0000-0000-000024000000}"/>
    <cellStyle name="Normal 6" xfId="15" xr:uid="{00000000-0005-0000-0000-000025000000}"/>
    <cellStyle name="Normal 6 2" xfId="36" xr:uid="{00000000-0005-0000-0000-000026000000}"/>
    <cellStyle name="Normal 7" xfId="14" xr:uid="{00000000-0005-0000-0000-000027000000}"/>
    <cellStyle name="Normal 7 2" xfId="35" xr:uid="{00000000-0005-0000-0000-000028000000}"/>
    <cellStyle name="Normal 8" xfId="31" xr:uid="{00000000-0005-0000-0000-000029000000}"/>
    <cellStyle name="Normal 8 2" xfId="44" xr:uid="{00000000-0005-0000-0000-00002A000000}"/>
    <cellStyle name="Percent" xfId="45" builtinId="5"/>
    <cellStyle name="Percent 2" xfId="13" xr:uid="{00000000-0005-0000-0000-00002C000000}"/>
    <cellStyle name="Percent 3" xfId="18"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L108"/>
  <sheetViews>
    <sheetView tabSelected="1" zoomScaleNormal="100" workbookViewId="0">
      <selection activeCell="M14" sqref="M14"/>
    </sheetView>
  </sheetViews>
  <sheetFormatPr defaultColWidth="21.5" defaultRowHeight="13.5" customHeight="1" outlineLevelRow="1" outlineLevelCol="2"/>
  <cols>
    <col min="1" max="1" width="74" style="109" bestFit="1" customWidth="1"/>
    <col min="2" max="3" width="18.83203125" style="109" customWidth="1"/>
    <col min="4" max="4" width="2.5" style="109" customWidth="1"/>
    <col min="5" max="6" width="18.83203125" style="109" hidden="1" customWidth="1" outlineLevel="1"/>
    <col min="7" max="7" width="2.5" style="109" hidden="1" customWidth="1" outlineLevel="1"/>
    <col min="8" max="9" width="18.5" style="109" hidden="1" customWidth="1" outlineLevel="2"/>
    <col min="10" max="10" width="3.5" style="109" hidden="1" customWidth="1" outlineLevel="1"/>
    <col min="11" max="11" width="21.5" style="93" collapsed="1"/>
    <col min="12" max="16384" width="21.5" style="109"/>
  </cols>
  <sheetData>
    <row r="1" spans="1:12" ht="13.5" customHeight="1">
      <c r="A1" s="217" t="s">
        <v>106</v>
      </c>
      <c r="B1" s="217"/>
      <c r="C1" s="217"/>
      <c r="D1" s="217"/>
      <c r="E1" s="217"/>
      <c r="F1" s="217"/>
      <c r="K1" s="187"/>
      <c r="L1" s="180"/>
    </row>
    <row r="2" spans="1:12" ht="13.5" customHeight="1">
      <c r="A2" s="217" t="s">
        <v>202</v>
      </c>
      <c r="B2" s="217"/>
      <c r="C2" s="217"/>
      <c r="D2" s="217"/>
      <c r="E2" s="217"/>
      <c r="F2" s="217"/>
    </row>
    <row r="3" spans="1:12" ht="13.5" customHeight="1">
      <c r="A3" s="217" t="s">
        <v>0</v>
      </c>
      <c r="B3" s="217"/>
      <c r="C3" s="217"/>
      <c r="D3" s="217"/>
      <c r="E3" s="217"/>
      <c r="F3" s="217"/>
    </row>
    <row r="4" spans="1:12" ht="13.5" customHeight="1">
      <c r="A4" s="5"/>
      <c r="B4" s="5"/>
    </row>
    <row r="5" spans="1:12" ht="13.5" customHeight="1">
      <c r="A5" s="5"/>
      <c r="B5" s="5"/>
    </row>
    <row r="6" spans="1:12" ht="13.5" customHeight="1">
      <c r="A6" s="108"/>
      <c r="B6" s="219" t="s">
        <v>184</v>
      </c>
      <c r="C6" s="219"/>
      <c r="E6" s="219" t="s">
        <v>176</v>
      </c>
      <c r="F6" s="219"/>
      <c r="H6" s="123" t="s">
        <v>175</v>
      </c>
      <c r="I6" s="6" t="s">
        <v>107</v>
      </c>
    </row>
    <row r="7" spans="1:12" ht="12.75">
      <c r="A7" s="108"/>
      <c r="B7" s="70">
        <v>2023</v>
      </c>
      <c r="C7" s="70">
        <v>2022</v>
      </c>
      <c r="E7" s="70">
        <v>2022</v>
      </c>
      <c r="F7" s="70">
        <v>2021</v>
      </c>
    </row>
    <row r="8" spans="1:12" ht="13.5" customHeight="1">
      <c r="A8" s="108"/>
      <c r="B8" s="220" t="s">
        <v>1</v>
      </c>
      <c r="C8" s="220"/>
      <c r="D8" s="74"/>
      <c r="E8" s="211" t="s">
        <v>1</v>
      </c>
      <c r="F8" s="212"/>
    </row>
    <row r="9" spans="1:12" ht="13.5" customHeight="1">
      <c r="A9" s="108"/>
      <c r="B9" s="7"/>
      <c r="C9" s="7"/>
      <c r="E9" s="7"/>
      <c r="F9" s="7"/>
    </row>
    <row r="10" spans="1:12" ht="13.5" customHeight="1">
      <c r="A10" s="11" t="s">
        <v>2</v>
      </c>
      <c r="B10" s="53">
        <v>869931</v>
      </c>
      <c r="C10" s="53">
        <v>867936</v>
      </c>
      <c r="E10" s="53"/>
      <c r="F10" s="53"/>
      <c r="H10" s="53">
        <v>2865129</v>
      </c>
      <c r="I10" s="53">
        <f>E10-H10</f>
        <v>-2865129</v>
      </c>
      <c r="J10" s="94"/>
    </row>
    <row r="11" spans="1:12" ht="13.5" customHeight="1">
      <c r="A11" s="92"/>
      <c r="B11" s="54"/>
      <c r="C11" s="54"/>
      <c r="E11" s="54"/>
      <c r="F11" s="54"/>
      <c r="H11" s="54"/>
      <c r="I11" s="94"/>
    </row>
    <row r="12" spans="1:12" ht="13.5" customHeight="1">
      <c r="A12" s="11" t="s">
        <v>3</v>
      </c>
      <c r="B12" s="54"/>
      <c r="C12" s="54"/>
      <c r="E12" s="54"/>
      <c r="F12" s="54"/>
      <c r="H12" s="54"/>
      <c r="I12" s="94"/>
    </row>
    <row r="13" spans="1:12" ht="13.5" customHeight="1">
      <c r="A13" s="12" t="s">
        <v>98</v>
      </c>
      <c r="B13" s="17">
        <f>577029-5292</f>
        <v>571737</v>
      </c>
      <c r="C13" s="17">
        <v>508225</v>
      </c>
      <c r="D13" s="95"/>
      <c r="E13" s="17"/>
      <c r="F13" s="17"/>
      <c r="H13" s="17">
        <v>1758012</v>
      </c>
      <c r="I13" s="17">
        <f>E13-H13</f>
        <v>-1758012</v>
      </c>
    </row>
    <row r="14" spans="1:12" ht="13.5" customHeight="1">
      <c r="A14" s="12" t="s">
        <v>4</v>
      </c>
      <c r="B14" s="17">
        <v>35479</v>
      </c>
      <c r="C14" s="17">
        <v>32210</v>
      </c>
      <c r="E14" s="17"/>
      <c r="F14" s="17"/>
      <c r="H14" s="17">
        <v>98948</v>
      </c>
      <c r="I14" s="17">
        <f t="shared" ref="I14:I41" si="0">E14-H14</f>
        <v>-98948</v>
      </c>
    </row>
    <row r="15" spans="1:12" ht="13.5" customHeight="1">
      <c r="A15" s="12" t="s">
        <v>61</v>
      </c>
      <c r="B15" s="17">
        <v>5292</v>
      </c>
      <c r="C15" s="17">
        <v>4430</v>
      </c>
      <c r="E15" s="17"/>
      <c r="F15" s="17"/>
      <c r="H15" s="17">
        <v>13290</v>
      </c>
      <c r="I15" s="17">
        <f t="shared" si="0"/>
        <v>-13290</v>
      </c>
    </row>
    <row r="16" spans="1:12" ht="13.5" customHeight="1">
      <c r="A16" s="12" t="s">
        <v>199</v>
      </c>
      <c r="B16" s="17">
        <v>-1462</v>
      </c>
      <c r="C16" s="17">
        <v>15519</v>
      </c>
      <c r="E16" s="17"/>
      <c r="F16" s="17"/>
      <c r="G16" s="95"/>
      <c r="H16" s="17">
        <v>5144</v>
      </c>
      <c r="I16" s="17">
        <f t="shared" si="0"/>
        <v>-5144</v>
      </c>
      <c r="K16" s="96"/>
    </row>
    <row r="17" spans="1:12" ht="13.5" customHeight="1">
      <c r="A17" s="12" t="s">
        <v>5</v>
      </c>
      <c r="B17" s="17">
        <v>26022</v>
      </c>
      <c r="C17" s="17">
        <v>26648</v>
      </c>
      <c r="E17" s="17"/>
      <c r="F17" s="17"/>
      <c r="H17" s="17">
        <v>79271</v>
      </c>
      <c r="I17" s="17">
        <f>E17-H17</f>
        <v>-79271</v>
      </c>
      <c r="K17" s="96"/>
    </row>
    <row r="18" spans="1:12" s="168" customFormat="1" ht="14.25" hidden="1" customHeight="1">
      <c r="A18" s="12" t="s">
        <v>181</v>
      </c>
      <c r="B18" s="17"/>
      <c r="C18" s="17">
        <v>0</v>
      </c>
      <c r="E18" s="17"/>
      <c r="F18" s="17"/>
      <c r="H18" s="17">
        <v>0</v>
      </c>
      <c r="I18" s="17">
        <f t="shared" si="0"/>
        <v>0</v>
      </c>
      <c r="K18" s="98"/>
    </row>
    <row r="19" spans="1:12" ht="13.5" customHeight="1">
      <c r="A19" s="12" t="s">
        <v>193</v>
      </c>
      <c r="B19" s="122">
        <f>1109-4816</f>
        <v>-3707</v>
      </c>
      <c r="C19" s="122">
        <v>-3439</v>
      </c>
      <c r="E19" s="122"/>
      <c r="F19" s="122"/>
      <c r="H19" s="122">
        <f>18797-1</f>
        <v>18796</v>
      </c>
      <c r="I19" s="13">
        <f>E19-H19</f>
        <v>-18796</v>
      </c>
      <c r="K19" s="97"/>
    </row>
    <row r="20" spans="1:12" ht="13.5" customHeight="1">
      <c r="A20" s="92"/>
      <c r="B20" s="13">
        <f>SUM(B13:B19)</f>
        <v>633361</v>
      </c>
      <c r="C20" s="13">
        <f>SUM(C13:C19)</f>
        <v>583593</v>
      </c>
      <c r="D20" s="95"/>
      <c r="E20" s="13">
        <f>SUM(E13:E19)</f>
        <v>0</v>
      </c>
      <c r="F20" s="13">
        <f>SUM(F13:F19)</f>
        <v>0</v>
      </c>
      <c r="H20" s="13">
        <f>SUM(H13:H19)</f>
        <v>1973461</v>
      </c>
      <c r="I20" s="13">
        <f>SUM(I13:I19)</f>
        <v>-1973461</v>
      </c>
      <c r="J20" s="94"/>
      <c r="L20" s="95"/>
    </row>
    <row r="21" spans="1:12" ht="13.5" customHeight="1">
      <c r="A21" s="92"/>
      <c r="B21" s="17"/>
      <c r="C21" s="17"/>
      <c r="E21" s="17"/>
      <c r="F21" s="17"/>
      <c r="H21" s="17"/>
      <c r="I21" s="17"/>
      <c r="L21" s="95"/>
    </row>
    <row r="22" spans="1:12" ht="13.5" customHeight="1">
      <c r="A22" s="15" t="s">
        <v>154</v>
      </c>
      <c r="B22" s="17">
        <f>+B10-B20</f>
        <v>236570</v>
      </c>
      <c r="C22" s="17">
        <f>+C10-C20</f>
        <v>284343</v>
      </c>
      <c r="D22" s="95"/>
      <c r="E22" s="17">
        <f>+E10-E20</f>
        <v>0</v>
      </c>
      <c r="F22" s="17">
        <f>+F10-F20</f>
        <v>0</v>
      </c>
      <c r="H22" s="17">
        <f>+H10-H20</f>
        <v>891668</v>
      </c>
      <c r="I22" s="17">
        <f>+I10-I20</f>
        <v>-891668</v>
      </c>
    </row>
    <row r="23" spans="1:12" ht="13.5" customHeight="1">
      <c r="A23" s="92"/>
      <c r="B23" s="17"/>
      <c r="C23" s="17"/>
      <c r="E23" s="17"/>
      <c r="F23" s="17"/>
      <c r="H23" s="17"/>
      <c r="I23" s="17"/>
    </row>
    <row r="24" spans="1:12" ht="13.5" customHeight="1">
      <c r="A24" s="11" t="s">
        <v>6</v>
      </c>
      <c r="B24" s="17"/>
      <c r="C24" s="17"/>
      <c r="E24" s="17"/>
      <c r="F24" s="17"/>
      <c r="H24" s="17"/>
      <c r="I24" s="17"/>
    </row>
    <row r="25" spans="1:12" ht="13.5" customHeight="1">
      <c r="A25" s="12" t="s">
        <v>7</v>
      </c>
      <c r="B25" s="17">
        <v>-4126</v>
      </c>
      <c r="C25" s="17">
        <v>-7047</v>
      </c>
      <c r="E25" s="17"/>
      <c r="F25" s="17"/>
      <c r="H25" s="17">
        <v>-16245</v>
      </c>
      <c r="I25" s="17">
        <f>E25-H25</f>
        <v>16245</v>
      </c>
    </row>
    <row r="26" spans="1:12" ht="13.5" customHeight="1">
      <c r="A26" s="12" t="s">
        <v>8</v>
      </c>
      <c r="B26" s="17">
        <v>3336</v>
      </c>
      <c r="C26" s="17">
        <v>24</v>
      </c>
      <c r="E26" s="17"/>
      <c r="F26" s="17"/>
      <c r="H26" s="17">
        <v>2776</v>
      </c>
      <c r="I26" s="17">
        <f>E26-H26</f>
        <v>-2776</v>
      </c>
      <c r="J26" s="95"/>
    </row>
    <row r="27" spans="1:12" ht="13.5" customHeight="1">
      <c r="A27" s="92"/>
      <c r="B27" s="14">
        <f>SUM(B25:B26)</f>
        <v>-790</v>
      </c>
      <c r="C27" s="14">
        <f>SUM(C25:C26)</f>
        <v>-7023</v>
      </c>
      <c r="E27" s="14">
        <f>SUM(E25:E26)</f>
        <v>0</v>
      </c>
      <c r="F27" s="14">
        <f>SUM(F25:F26)</f>
        <v>0</v>
      </c>
      <c r="H27" s="14">
        <f>SUM(H25:H26)</f>
        <v>-13469</v>
      </c>
      <c r="I27" s="14">
        <f t="shared" si="0"/>
        <v>13469</v>
      </c>
    </row>
    <row r="28" spans="1:12" ht="13.5" customHeight="1">
      <c r="A28" s="92"/>
      <c r="B28" s="17"/>
      <c r="C28" s="17"/>
      <c r="E28" s="17"/>
      <c r="F28" s="17"/>
      <c r="H28" s="17"/>
      <c r="I28" s="17"/>
      <c r="L28" s="98"/>
    </row>
    <row r="29" spans="1:12" ht="13.5" customHeight="1">
      <c r="A29" s="92" t="s">
        <v>155</v>
      </c>
      <c r="B29" s="17">
        <f>B22+B27</f>
        <v>235780</v>
      </c>
      <c r="C29" s="17">
        <f>C22+C27</f>
        <v>277320</v>
      </c>
      <c r="D29" s="95"/>
      <c r="E29" s="17">
        <f>E22+E27</f>
        <v>0</v>
      </c>
      <c r="F29" s="17">
        <f>F22+F27</f>
        <v>0</v>
      </c>
      <c r="H29" s="17">
        <f>H22+H27</f>
        <v>878199</v>
      </c>
      <c r="I29" s="17">
        <f t="shared" si="0"/>
        <v>-878199</v>
      </c>
      <c r="L29" s="99"/>
    </row>
    <row r="30" spans="1:12" ht="13.5" customHeight="1">
      <c r="A30" s="92"/>
      <c r="B30" s="17"/>
      <c r="C30" s="17"/>
      <c r="E30" s="107"/>
      <c r="F30" s="17"/>
      <c r="H30" s="199"/>
      <c r="I30" s="17"/>
    </row>
    <row r="31" spans="1:12" ht="13.5" customHeight="1">
      <c r="A31" s="16" t="s">
        <v>146</v>
      </c>
      <c r="B31" s="17"/>
      <c r="C31" s="17"/>
      <c r="E31" s="107"/>
      <c r="F31" s="17"/>
      <c r="H31" s="199"/>
      <c r="I31" s="17"/>
    </row>
    <row r="32" spans="1:12" ht="13.5" customHeight="1">
      <c r="A32" s="12" t="s">
        <v>200</v>
      </c>
      <c r="B32" s="17">
        <v>592</v>
      </c>
      <c r="C32" s="17">
        <v>-873</v>
      </c>
      <c r="E32" s="17"/>
      <c r="F32" s="17"/>
      <c r="G32" s="95"/>
      <c r="H32" s="17">
        <v>-2189</v>
      </c>
      <c r="I32" s="17">
        <f>E32-H32</f>
        <v>2189</v>
      </c>
      <c r="K32" s="96"/>
    </row>
    <row r="33" spans="1:11" s="176" customFormat="1" ht="13.5" customHeight="1">
      <c r="A33" s="12" t="s">
        <v>149</v>
      </c>
      <c r="B33" s="17">
        <v>-1126</v>
      </c>
      <c r="C33" s="17">
        <v>-4120</v>
      </c>
      <c r="E33" s="17"/>
      <c r="F33" s="17"/>
      <c r="G33" s="95"/>
      <c r="H33" s="17">
        <v>-14143</v>
      </c>
      <c r="I33" s="17">
        <f>E33-H33</f>
        <v>14143</v>
      </c>
      <c r="K33" s="96"/>
    </row>
    <row r="34" spans="1:11" ht="13.5" customHeight="1">
      <c r="A34" s="12"/>
      <c r="B34" s="14">
        <f>SUM(B32:B33)</f>
        <v>-534</v>
      </c>
      <c r="C34" s="14">
        <f>SUM(C32:C33)</f>
        <v>-4993</v>
      </c>
      <c r="E34" s="14">
        <f>SUM(E32:E33)</f>
        <v>0</v>
      </c>
      <c r="F34" s="14">
        <f>SUM(F32:F33)</f>
        <v>0</v>
      </c>
      <c r="H34" s="14">
        <f>SUM(H32:H33)</f>
        <v>-16332</v>
      </c>
      <c r="I34" s="14">
        <f>SUM(I32:I33)</f>
        <v>16332</v>
      </c>
    </row>
    <row r="35" spans="1:11" ht="13.5" customHeight="1">
      <c r="A35" s="92"/>
      <c r="B35" s="17"/>
      <c r="C35" s="17"/>
      <c r="E35" s="17"/>
      <c r="F35" s="17"/>
      <c r="H35" s="17"/>
      <c r="I35" s="17">
        <f t="shared" si="0"/>
        <v>0</v>
      </c>
    </row>
    <row r="36" spans="1:11" ht="13.5" customHeight="1">
      <c r="A36" s="107" t="s">
        <v>156</v>
      </c>
      <c r="B36" s="17">
        <f>B29+B34</f>
        <v>235246</v>
      </c>
      <c r="C36" s="17">
        <f>C29+C34</f>
        <v>272327</v>
      </c>
      <c r="D36" s="95"/>
      <c r="E36" s="17">
        <f>E29+E34</f>
        <v>0</v>
      </c>
      <c r="F36" s="17">
        <f>F29+F34</f>
        <v>0</v>
      </c>
      <c r="H36" s="17">
        <f>H29+H34</f>
        <v>861867</v>
      </c>
      <c r="I36" s="17">
        <f t="shared" si="0"/>
        <v>-861867</v>
      </c>
    </row>
    <row r="37" spans="1:11" ht="13.5" customHeight="1">
      <c r="A37" s="107" t="s">
        <v>195</v>
      </c>
      <c r="B37" s="13">
        <v>37138</v>
      </c>
      <c r="C37" s="13">
        <v>455</v>
      </c>
      <c r="E37" s="13"/>
      <c r="F37" s="13"/>
      <c r="H37" s="13">
        <f>1423+1</f>
        <v>1424</v>
      </c>
      <c r="I37" s="13">
        <f>E37-H37</f>
        <v>-1424</v>
      </c>
    </row>
    <row r="38" spans="1:11" ht="13.5" customHeight="1">
      <c r="A38" s="107"/>
      <c r="B38" s="17"/>
      <c r="C38" s="17"/>
      <c r="E38" s="17"/>
      <c r="F38" s="17"/>
      <c r="H38" s="17"/>
      <c r="I38" s="17">
        <f t="shared" si="0"/>
        <v>0</v>
      </c>
    </row>
    <row r="39" spans="1:11" ht="13.5" customHeight="1" thickBot="1">
      <c r="A39" s="18" t="s">
        <v>157</v>
      </c>
      <c r="B39" s="19">
        <f>B36-B37</f>
        <v>198108</v>
      </c>
      <c r="C39" s="19">
        <f>C36-C37</f>
        <v>271872</v>
      </c>
      <c r="D39" s="95"/>
      <c r="E39" s="19">
        <f>E36-E37</f>
        <v>0</v>
      </c>
      <c r="F39" s="19">
        <f>F36-F37</f>
        <v>0</v>
      </c>
      <c r="H39" s="19">
        <f>H36-H37</f>
        <v>860443</v>
      </c>
      <c r="I39" s="19">
        <f t="shared" si="0"/>
        <v>-860443</v>
      </c>
      <c r="J39" s="124"/>
    </row>
    <row r="40" spans="1:11" ht="13.5" customHeight="1" thickTop="1">
      <c r="A40" s="16"/>
      <c r="B40" s="196"/>
      <c r="C40" s="196"/>
    </row>
    <row r="41" spans="1:11" s="178" customFormat="1" ht="13.5" hidden="1" customHeight="1" outlineLevel="1">
      <c r="A41" s="177" t="s">
        <v>143</v>
      </c>
      <c r="B41" s="17">
        <v>0</v>
      </c>
      <c r="C41" s="17">
        <v>0</v>
      </c>
      <c r="E41" s="17">
        <v>4153</v>
      </c>
      <c r="F41" s="17">
        <v>0</v>
      </c>
      <c r="H41" s="17">
        <v>3820</v>
      </c>
      <c r="I41" s="17">
        <f t="shared" si="0"/>
        <v>333</v>
      </c>
      <c r="K41" s="93"/>
    </row>
    <row r="42" spans="1:11" s="191" customFormat="1" ht="13.5" hidden="1" customHeight="1" outlineLevel="1">
      <c r="A42" s="189" t="s">
        <v>172</v>
      </c>
      <c r="B42" s="17">
        <f>I42</f>
        <v>0</v>
      </c>
      <c r="C42" s="17">
        <v>0</v>
      </c>
      <c r="E42" s="17">
        <v>4914</v>
      </c>
      <c r="F42" s="17">
        <v>0</v>
      </c>
      <c r="H42" s="17">
        <v>4914</v>
      </c>
      <c r="I42" s="17">
        <f t="shared" ref="I42" si="1">E42-H42</f>
        <v>0</v>
      </c>
      <c r="K42" s="93"/>
    </row>
    <row r="43" spans="1:11" s="178" customFormat="1" ht="13.5" hidden="1" customHeight="1" outlineLevel="1">
      <c r="A43" s="177" t="s">
        <v>144</v>
      </c>
      <c r="B43" s="13">
        <v>0</v>
      </c>
      <c r="C43" s="13">
        <v>0</v>
      </c>
      <c r="E43" s="13">
        <v>573</v>
      </c>
      <c r="F43" s="13">
        <v>0</v>
      </c>
      <c r="H43" s="13">
        <v>525</v>
      </c>
      <c r="I43" s="13">
        <f>E43-H43</f>
        <v>48</v>
      </c>
      <c r="K43" s="93"/>
    </row>
    <row r="44" spans="1:11" s="178" customFormat="1" ht="13.5" hidden="1" customHeight="1" outlineLevel="1">
      <c r="A44" s="18" t="s">
        <v>158</v>
      </c>
      <c r="B44" s="75">
        <f>B39+SUM(B41:B43)</f>
        <v>198108</v>
      </c>
      <c r="C44" s="75">
        <f>C39+SUM(C41:C43)</f>
        <v>271872</v>
      </c>
      <c r="E44" s="75">
        <f>E39+SUM(E41:E43)</f>
        <v>9640</v>
      </c>
      <c r="F44" s="75">
        <f>F39+SUM(F41:F43)</f>
        <v>0</v>
      </c>
      <c r="H44" s="75">
        <f>H39+H41+H43</f>
        <v>864788</v>
      </c>
      <c r="I44" s="75">
        <f>I39+I41+I43</f>
        <v>-860062</v>
      </c>
      <c r="K44" s="93"/>
    </row>
    <row r="45" spans="1:11" s="178" customFormat="1" ht="13.5" hidden="1" customHeight="1" outlineLevel="1">
      <c r="A45" s="16"/>
      <c r="B45" s="75"/>
      <c r="C45" s="75"/>
      <c r="K45" s="93"/>
    </row>
    <row r="46" spans="1:11" ht="13.5" customHeight="1" collapsed="1">
      <c r="A46" s="11" t="s">
        <v>159</v>
      </c>
      <c r="B46" s="75"/>
      <c r="C46" s="75"/>
      <c r="E46" s="94"/>
    </row>
    <row r="47" spans="1:11" ht="13.5" customHeight="1" thickBot="1">
      <c r="A47" s="107" t="s">
        <v>160</v>
      </c>
      <c r="B47" s="55">
        <f>ROUND(B39/B51,2)</f>
        <v>11.05</v>
      </c>
      <c r="C47" s="55">
        <f>ROUND(C39/C51,2)</f>
        <v>17.600000000000001</v>
      </c>
      <c r="E47" s="55" t="e">
        <f>ROUND(E39/E51,2)</f>
        <v>#DIV/0!</v>
      </c>
      <c r="F47" s="55" t="e">
        <f>ROUND(F39/F51,2)</f>
        <v>#DIV/0!</v>
      </c>
      <c r="H47" s="78"/>
      <c r="I47" s="78"/>
    </row>
    <row r="48" spans="1:11" s="158" customFormat="1" ht="16.5" customHeight="1" thickTop="1" thickBot="1">
      <c r="A48" s="157" t="s">
        <v>161</v>
      </c>
      <c r="B48" s="55">
        <v>10.02</v>
      </c>
      <c r="C48" s="55">
        <v>12.89</v>
      </c>
      <c r="E48" s="55" t="e">
        <f>ROUND(E44/E52,2)</f>
        <v>#DIV/0!</v>
      </c>
      <c r="F48" s="55" t="e">
        <f>ROUND(F39/F52,2)</f>
        <v>#DIV/0!</v>
      </c>
      <c r="H48" s="78"/>
      <c r="I48" s="78"/>
      <c r="K48" s="93"/>
    </row>
    <row r="49" spans="1:11" ht="13.5" customHeight="1" thickTop="1">
      <c r="A49" s="92"/>
      <c r="B49" s="196"/>
      <c r="C49" s="54"/>
      <c r="E49" s="54"/>
      <c r="F49" s="54"/>
      <c r="H49" s="54"/>
      <c r="I49" s="54"/>
    </row>
    <row r="50" spans="1:11" s="159" customFormat="1" ht="13.5" customHeight="1">
      <c r="A50" s="16" t="s">
        <v>135</v>
      </c>
      <c r="B50" s="54"/>
      <c r="C50" s="54"/>
      <c r="E50" s="54"/>
      <c r="F50" s="54"/>
      <c r="H50" s="54"/>
      <c r="I50" s="54"/>
      <c r="K50" s="160"/>
    </row>
    <row r="51" spans="1:11" ht="13.5" customHeight="1" thickBot="1">
      <c r="A51" s="132" t="s">
        <v>136</v>
      </c>
      <c r="B51" s="56">
        <v>17924</v>
      </c>
      <c r="C51" s="56">
        <v>15448</v>
      </c>
      <c r="E51" s="56"/>
      <c r="F51" s="56"/>
      <c r="H51" s="17"/>
      <c r="I51" s="17"/>
    </row>
    <row r="52" spans="1:11" s="159" customFormat="1" ht="16.5" customHeight="1" thickTop="1" thickBot="1">
      <c r="A52" s="157" t="s">
        <v>137</v>
      </c>
      <c r="B52" s="56">
        <v>19784</v>
      </c>
      <c r="C52" s="56">
        <v>21271</v>
      </c>
      <c r="E52" s="56"/>
      <c r="F52" s="56"/>
      <c r="H52" s="17"/>
      <c r="I52" s="17"/>
      <c r="K52" s="160"/>
    </row>
    <row r="53" spans="1:11" ht="13.5" customHeight="1" thickTop="1">
      <c r="A53" s="92"/>
      <c r="B53" s="54"/>
      <c r="C53" s="54"/>
      <c r="E53" s="54"/>
      <c r="F53" s="54"/>
      <c r="H53" s="54"/>
      <c r="I53" s="54"/>
    </row>
    <row r="54" spans="1:11" ht="13.5" customHeight="1" thickBot="1">
      <c r="A54" s="92" t="s">
        <v>74</v>
      </c>
      <c r="B54" s="55">
        <v>3.11</v>
      </c>
      <c r="C54" s="55">
        <v>0.25</v>
      </c>
      <c r="E54" s="45"/>
      <c r="F54" s="45"/>
      <c r="H54" s="79"/>
      <c r="I54" s="79"/>
    </row>
    <row r="55" spans="1:11" ht="13.5" customHeight="1" thickTop="1">
      <c r="A55" s="92"/>
      <c r="B55" s="75"/>
      <c r="C55" s="75"/>
      <c r="E55" s="54"/>
      <c r="F55" s="54"/>
      <c r="H55" s="54"/>
      <c r="I55" s="54"/>
    </row>
    <row r="56" spans="1:11" ht="13.5" customHeight="1" thickBot="1">
      <c r="A56" s="11" t="s">
        <v>97</v>
      </c>
      <c r="B56" s="76">
        <f>'Reconciliation page'!B22</f>
        <v>277341</v>
      </c>
      <c r="C56" s="77">
        <f>'Reconciliation page'!C22</f>
        <v>320983</v>
      </c>
      <c r="E56" s="76">
        <f>'Reconciliation page'!E22</f>
        <v>0</v>
      </c>
      <c r="F56" s="76">
        <f>'Reconciliation page'!F22</f>
        <v>0</v>
      </c>
      <c r="H56" s="40"/>
      <c r="I56" s="40"/>
    </row>
    <row r="57" spans="1:11" ht="13.5" customHeight="1" thickTop="1">
      <c r="A57" s="11"/>
      <c r="B57" s="75"/>
      <c r="C57" s="115"/>
      <c r="E57" s="75"/>
      <c r="F57" s="40"/>
      <c r="H57" s="40"/>
      <c r="I57" s="40"/>
    </row>
    <row r="58" spans="1:11" ht="13.5" customHeight="1">
      <c r="A58" s="11"/>
      <c r="B58" s="75"/>
      <c r="C58" s="115"/>
      <c r="E58" s="75"/>
      <c r="F58" s="40"/>
      <c r="H58" s="40"/>
      <c r="I58" s="40"/>
    </row>
    <row r="59" spans="1:11" ht="12.75">
      <c r="A59" s="218" t="s">
        <v>94</v>
      </c>
      <c r="B59" s="218"/>
      <c r="C59" s="218"/>
      <c r="D59" s="218"/>
      <c r="E59" s="218"/>
      <c r="F59" s="218"/>
      <c r="H59" s="100"/>
      <c r="I59" s="100"/>
    </row>
    <row r="60" spans="1:11" ht="13.5" customHeight="1">
      <c r="A60" s="92"/>
      <c r="B60" s="88"/>
      <c r="E60" s="99"/>
    </row>
    <row r="61" spans="1:11" ht="13.5" customHeight="1">
      <c r="A61" s="92"/>
      <c r="B61" s="10"/>
      <c r="C61" s="94"/>
      <c r="E61" s="94"/>
    </row>
    <row r="62" spans="1:11" ht="13.5" customHeight="1">
      <c r="A62" s="92"/>
      <c r="B62" s="87"/>
      <c r="E62" s="89"/>
    </row>
    <row r="63" spans="1:11" ht="13.5" customHeight="1">
      <c r="A63" s="92"/>
      <c r="B63" s="88"/>
      <c r="E63" s="88"/>
    </row>
    <row r="64" spans="1:11" ht="13.5" customHeight="1">
      <c r="A64" s="92"/>
      <c r="B64" s="92"/>
    </row>
    <row r="65" spans="1:2" ht="13.5" customHeight="1">
      <c r="A65" s="21"/>
      <c r="B65" s="21"/>
    </row>
    <row r="66" spans="1:2" ht="13.5" customHeight="1">
      <c r="A66" s="21"/>
      <c r="B66" s="21"/>
    </row>
    <row r="67" spans="1:2" ht="13.5" customHeight="1">
      <c r="A67" s="5"/>
      <c r="B67" s="5"/>
    </row>
    <row r="68" spans="1:2" ht="13.5" customHeight="1">
      <c r="A68" s="5"/>
      <c r="B68" s="5"/>
    </row>
    <row r="69" spans="1:2" ht="13.5" customHeight="1">
      <c r="A69" s="5"/>
      <c r="B69" s="5"/>
    </row>
    <row r="70" spans="1:2" ht="13.5" customHeight="1">
      <c r="A70" s="5"/>
      <c r="B70" s="5"/>
    </row>
    <row r="71" spans="1:2" ht="13.5" customHeight="1">
      <c r="A71" s="5"/>
      <c r="B71" s="5"/>
    </row>
    <row r="72" spans="1:2" ht="13.5" customHeight="1">
      <c r="A72" s="5"/>
      <c r="B72" s="5"/>
    </row>
    <row r="73" spans="1:2" ht="13.5" customHeight="1">
      <c r="A73" s="5"/>
      <c r="B73" s="5"/>
    </row>
    <row r="74" spans="1:2" ht="13.5" customHeight="1">
      <c r="A74" s="5"/>
      <c r="B74" s="5"/>
    </row>
    <row r="75" spans="1:2" ht="13.5" customHeight="1">
      <c r="A75" s="5"/>
      <c r="B75" s="5"/>
    </row>
    <row r="76" spans="1:2" ht="13.5" customHeight="1">
      <c r="A76" s="5"/>
      <c r="B76" s="5"/>
    </row>
    <row r="77" spans="1:2" ht="13.5" customHeight="1">
      <c r="A77" s="5"/>
      <c r="B77" s="5"/>
    </row>
    <row r="78" spans="1:2" ht="13.5" customHeight="1">
      <c r="A78" s="5"/>
      <c r="B78" s="5"/>
    </row>
    <row r="79" spans="1:2" ht="13.5" customHeight="1">
      <c r="A79" s="5"/>
      <c r="B79" s="5"/>
    </row>
    <row r="80" spans="1:2" ht="13.5" customHeight="1">
      <c r="A80" s="5"/>
      <c r="B80" s="5"/>
    </row>
    <row r="81" spans="1:2" ht="13.5" customHeight="1">
      <c r="A81" s="5"/>
      <c r="B81" s="5"/>
    </row>
    <row r="82" spans="1:2" ht="13.5" customHeight="1">
      <c r="A82" s="5"/>
      <c r="B82" s="5"/>
    </row>
    <row r="83" spans="1:2" ht="13.5" customHeight="1">
      <c r="A83" s="5"/>
      <c r="B83" s="5"/>
    </row>
    <row r="84" spans="1:2" ht="13.5" customHeight="1">
      <c r="A84" s="5"/>
      <c r="B84" s="5"/>
    </row>
    <row r="85" spans="1:2" ht="13.5" customHeight="1">
      <c r="A85" s="5"/>
      <c r="B85" s="5"/>
    </row>
    <row r="86" spans="1:2" ht="13.5" customHeight="1">
      <c r="A86" s="5"/>
      <c r="B86" s="5"/>
    </row>
    <row r="87" spans="1:2" ht="13.5" customHeight="1">
      <c r="A87" s="5"/>
      <c r="B87" s="5"/>
    </row>
    <row r="88" spans="1:2" ht="13.5" customHeight="1">
      <c r="A88" s="5"/>
      <c r="B88" s="5"/>
    </row>
    <row r="89" spans="1:2" ht="13.5" customHeight="1">
      <c r="A89" s="5"/>
      <c r="B89" s="5"/>
    </row>
    <row r="90" spans="1:2" ht="13.5" customHeight="1">
      <c r="A90" s="5"/>
      <c r="B90" s="5"/>
    </row>
    <row r="91" spans="1:2" ht="13.5" customHeight="1">
      <c r="A91" s="5"/>
      <c r="B91" s="5"/>
    </row>
    <row r="92" spans="1:2" ht="13.5" customHeight="1">
      <c r="A92" s="5"/>
      <c r="B92" s="5"/>
    </row>
    <row r="93" spans="1:2" ht="13.5" customHeight="1">
      <c r="A93" s="5"/>
      <c r="B93" s="5"/>
    </row>
    <row r="94" spans="1:2" ht="13.5" customHeight="1">
      <c r="A94" s="5"/>
      <c r="B94" s="5"/>
    </row>
    <row r="95" spans="1:2" ht="13.5" customHeight="1">
      <c r="A95" s="5"/>
      <c r="B95" s="5"/>
    </row>
    <row r="96" spans="1:2" ht="13.5" customHeight="1">
      <c r="A96" s="5"/>
      <c r="B96" s="5"/>
    </row>
    <row r="97" spans="1:2" ht="13.5" customHeight="1">
      <c r="A97" s="5"/>
      <c r="B97" s="5"/>
    </row>
    <row r="98" spans="1:2" ht="13.5" customHeight="1">
      <c r="A98" s="5"/>
      <c r="B98" s="5"/>
    </row>
    <row r="99" spans="1:2" ht="13.5" customHeight="1">
      <c r="A99" s="5"/>
      <c r="B99" s="5"/>
    </row>
    <row r="100" spans="1:2" ht="13.5" customHeight="1">
      <c r="A100" s="5"/>
      <c r="B100" s="5"/>
    </row>
    <row r="101" spans="1:2" ht="13.5" customHeight="1">
      <c r="A101" s="5"/>
      <c r="B101" s="5"/>
    </row>
    <row r="102" spans="1:2" ht="13.5" customHeight="1">
      <c r="A102" s="5"/>
      <c r="B102" s="5"/>
    </row>
    <row r="103" spans="1:2" ht="13.5" customHeight="1">
      <c r="A103" s="5"/>
      <c r="B103" s="5"/>
    </row>
    <row r="104" spans="1:2" ht="13.5" customHeight="1">
      <c r="A104" s="5"/>
      <c r="B104" s="5"/>
    </row>
    <row r="105" spans="1:2" ht="13.5" customHeight="1">
      <c r="A105" s="5"/>
      <c r="B105" s="5"/>
    </row>
    <row r="106" spans="1:2" ht="13.5" customHeight="1">
      <c r="A106" s="5"/>
      <c r="B106" s="5"/>
    </row>
    <row r="107" spans="1:2" ht="13.5" customHeight="1">
      <c r="A107" s="5"/>
      <c r="B107" s="5"/>
    </row>
    <row r="108" spans="1:2" ht="13.5" customHeight="1">
      <c r="A108" s="5"/>
      <c r="B108" s="5"/>
    </row>
  </sheetData>
  <mergeCells count="7">
    <mergeCell ref="A1:F1"/>
    <mergeCell ref="A2:F2"/>
    <mergeCell ref="A3:F3"/>
    <mergeCell ref="A59:F59"/>
    <mergeCell ref="E6:F6"/>
    <mergeCell ref="B6:C6"/>
    <mergeCell ref="B8:C8"/>
  </mergeCells>
  <pageMargins left="0.7" right="0.7" top="0.75" bottom="0.75" header="0.3" footer="0.3"/>
  <pageSetup scale="88" orientation="portrait" r:id="rId1"/>
  <ignoredErrors>
    <ignoredError sqref="I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J63"/>
  <sheetViews>
    <sheetView zoomScaleNormal="100" workbookViewId="0">
      <selection activeCell="B41" sqref="B41"/>
    </sheetView>
  </sheetViews>
  <sheetFormatPr defaultColWidth="21.5" defaultRowHeight="12.75"/>
  <cols>
    <col min="1" max="1" width="65.33203125" style="109" customWidth="1"/>
    <col min="2" max="3" width="18.83203125" style="109" customWidth="1"/>
    <col min="4" max="4" width="17.83203125" style="109" bestFit="1" customWidth="1"/>
    <col min="5" max="5" width="19.5" style="98" hidden="1" customWidth="1"/>
    <col min="6" max="6" width="20.6640625" style="109" hidden="1" customWidth="1"/>
    <col min="7" max="8" width="19.83203125" style="109" customWidth="1"/>
    <col min="9" max="16384" width="21.5" style="109"/>
  </cols>
  <sheetData>
    <row r="1" spans="1:10" ht="13.5">
      <c r="A1" s="217" t="s">
        <v>106</v>
      </c>
      <c r="B1" s="221"/>
      <c r="C1" s="221"/>
      <c r="D1" s="187"/>
    </row>
    <row r="2" spans="1:10" ht="13.5">
      <c r="A2" s="217" t="s">
        <v>9</v>
      </c>
      <c r="B2" s="221"/>
      <c r="C2" s="221"/>
    </row>
    <row r="3" spans="1:10" ht="13.5">
      <c r="A3" s="217" t="s">
        <v>10</v>
      </c>
      <c r="B3" s="221"/>
      <c r="C3" s="221"/>
    </row>
    <row r="4" spans="1:10">
      <c r="A4" s="108"/>
      <c r="B4" s="108"/>
      <c r="C4" s="108"/>
      <c r="D4" s="108"/>
    </row>
    <row r="5" spans="1:10">
      <c r="A5" s="108"/>
      <c r="B5" s="38"/>
      <c r="C5" s="38"/>
      <c r="D5" s="108"/>
    </row>
    <row r="6" spans="1:10">
      <c r="A6" s="108"/>
      <c r="B6" s="39" t="s">
        <v>185</v>
      </c>
      <c r="C6" s="39" t="s">
        <v>54</v>
      </c>
      <c r="D6" s="108"/>
    </row>
    <row r="7" spans="1:10">
      <c r="A7" s="108"/>
      <c r="B7" s="70">
        <v>2023</v>
      </c>
      <c r="C7" s="70">
        <v>2022</v>
      </c>
      <c r="D7" s="108"/>
    </row>
    <row r="8" spans="1:10">
      <c r="A8" s="108"/>
      <c r="B8" s="211" t="s">
        <v>1</v>
      </c>
      <c r="C8" s="34"/>
      <c r="D8" s="108"/>
    </row>
    <row r="9" spans="1:10">
      <c r="A9" s="6" t="s">
        <v>11</v>
      </c>
      <c r="B9" s="7"/>
      <c r="C9" s="108"/>
      <c r="D9" s="108"/>
    </row>
    <row r="10" spans="1:10">
      <c r="A10" s="6" t="s">
        <v>12</v>
      </c>
      <c r="B10" s="7"/>
      <c r="C10" s="108"/>
      <c r="D10" s="108"/>
    </row>
    <row r="11" spans="1:10">
      <c r="A11" s="1" t="s">
        <v>13</v>
      </c>
      <c r="B11" s="53">
        <v>189739</v>
      </c>
      <c r="C11" s="53">
        <v>236059</v>
      </c>
      <c r="D11" s="81"/>
    </row>
    <row r="12" spans="1:10">
      <c r="A12" s="1" t="s">
        <v>95</v>
      </c>
      <c r="B12" s="161">
        <v>32116</v>
      </c>
      <c r="C12" s="31">
        <v>36993</v>
      </c>
      <c r="D12" s="108"/>
    </row>
    <row r="13" spans="1:10" s="113" customFormat="1">
      <c r="A13" s="1" t="s">
        <v>88</v>
      </c>
      <c r="B13" s="161">
        <v>1100</v>
      </c>
      <c r="C13" s="31">
        <v>1100</v>
      </c>
      <c r="D13" s="112"/>
      <c r="E13" s="98"/>
    </row>
    <row r="14" spans="1:10">
      <c r="A14" s="1" t="s">
        <v>15</v>
      </c>
      <c r="B14" s="31">
        <v>295157</v>
      </c>
      <c r="C14" s="31">
        <v>236999</v>
      </c>
      <c r="D14" s="108"/>
    </row>
    <row r="15" spans="1:10">
      <c r="A15" s="1" t="s">
        <v>16</v>
      </c>
      <c r="B15" s="161">
        <v>18560</v>
      </c>
      <c r="C15" s="31">
        <v>18301</v>
      </c>
      <c r="D15" s="108"/>
      <c r="J15" s="95"/>
    </row>
    <row r="16" spans="1:10">
      <c r="A16" s="1" t="s">
        <v>17</v>
      </c>
      <c r="B16" s="161">
        <v>271155</v>
      </c>
      <c r="C16" s="31">
        <v>223015</v>
      </c>
      <c r="D16" s="30"/>
    </row>
    <row r="17" spans="1:10">
      <c r="A17" s="1" t="s">
        <v>19</v>
      </c>
      <c r="B17" s="162">
        <f>54976+113</f>
        <v>55089</v>
      </c>
      <c r="C17" s="84">
        <v>71384</v>
      </c>
      <c r="D17" s="30"/>
    </row>
    <row r="18" spans="1:10">
      <c r="A18" s="1" t="s">
        <v>20</v>
      </c>
      <c r="B18" s="41">
        <f>SUM(B11:B17)</f>
        <v>862916</v>
      </c>
      <c r="C18" s="23">
        <f>SUM(C11:C17)</f>
        <v>823851</v>
      </c>
      <c r="D18" s="30"/>
      <c r="G18" s="95"/>
      <c r="I18" s="173"/>
      <c r="J18" s="95"/>
    </row>
    <row r="19" spans="1:10">
      <c r="A19" s="108"/>
      <c r="B19" s="35"/>
      <c r="C19" s="22"/>
      <c r="D19" s="108"/>
    </row>
    <row r="20" spans="1:10">
      <c r="A20" s="6" t="s">
        <v>21</v>
      </c>
      <c r="B20" s="161">
        <v>1182351</v>
      </c>
      <c r="C20" s="31">
        <v>1187028</v>
      </c>
      <c r="D20" s="108"/>
    </row>
    <row r="21" spans="1:10">
      <c r="A21" s="108"/>
      <c r="B21" s="35"/>
      <c r="C21" s="35"/>
      <c r="D21" s="108"/>
    </row>
    <row r="22" spans="1:10">
      <c r="A22" s="6" t="s">
        <v>22</v>
      </c>
      <c r="B22" s="35"/>
      <c r="C22" s="35"/>
      <c r="D22" s="108"/>
    </row>
    <row r="23" spans="1:10" s="202" customFormat="1">
      <c r="A23" s="1" t="s">
        <v>18</v>
      </c>
      <c r="B23" s="35">
        <v>174561</v>
      </c>
      <c r="C23" s="35">
        <v>209470</v>
      </c>
      <c r="D23" s="201"/>
      <c r="E23" s="98"/>
    </row>
    <row r="24" spans="1:10">
      <c r="A24" s="1" t="s">
        <v>23</v>
      </c>
      <c r="B24" s="161">
        <v>19142</v>
      </c>
      <c r="C24" s="31">
        <v>17267</v>
      </c>
      <c r="D24" s="108"/>
    </row>
    <row r="25" spans="1:10" s="171" customFormat="1">
      <c r="A25" s="1" t="s">
        <v>141</v>
      </c>
      <c r="B25" s="161">
        <v>137134</v>
      </c>
      <c r="C25" s="161">
        <v>135993</v>
      </c>
      <c r="D25" s="170"/>
      <c r="E25" s="98"/>
    </row>
    <row r="26" spans="1:10">
      <c r="A26" s="1" t="s">
        <v>24</v>
      </c>
      <c r="B26" s="162">
        <f>4400+189289-137134</f>
        <v>56555</v>
      </c>
      <c r="C26" s="25">
        <v>59499</v>
      </c>
      <c r="D26" s="108"/>
      <c r="J26" s="95"/>
    </row>
    <row r="27" spans="1:10">
      <c r="A27" s="3" t="s">
        <v>25</v>
      </c>
      <c r="B27" s="25">
        <f>SUM(B23:B26)</f>
        <v>387392</v>
      </c>
      <c r="C27" s="25">
        <f>SUM(C23:C26)</f>
        <v>422229</v>
      </c>
      <c r="D27" s="108"/>
      <c r="I27" s="173"/>
      <c r="J27" s="95"/>
    </row>
    <row r="28" spans="1:10" ht="13.5" thickBot="1">
      <c r="A28" s="109" t="s">
        <v>26</v>
      </c>
      <c r="B28" s="26">
        <f>+B27+B20+B18</f>
        <v>2432659</v>
      </c>
      <c r="C28" s="26">
        <f>+C18+C20+C27</f>
        <v>2433108</v>
      </c>
      <c r="D28" s="108"/>
      <c r="I28" s="173"/>
    </row>
    <row r="29" spans="1:10" ht="13.5" thickTop="1">
      <c r="A29" s="108"/>
      <c r="B29" s="35"/>
      <c r="C29" s="22"/>
      <c r="D29" s="108"/>
    </row>
    <row r="30" spans="1:10">
      <c r="A30" s="6" t="s">
        <v>68</v>
      </c>
      <c r="B30" s="35"/>
      <c r="C30" s="22"/>
      <c r="D30" s="108"/>
    </row>
    <row r="31" spans="1:10">
      <c r="A31" s="6" t="s">
        <v>110</v>
      </c>
      <c r="B31" s="35"/>
      <c r="C31" s="22"/>
      <c r="D31" s="108"/>
    </row>
    <row r="32" spans="1:10">
      <c r="A32" s="1" t="s">
        <v>27</v>
      </c>
      <c r="B32" s="36">
        <f>165305+11648</f>
        <v>176953</v>
      </c>
      <c r="C32" s="36">
        <v>211848</v>
      </c>
      <c r="D32" s="108"/>
    </row>
    <row r="33" spans="1:7">
      <c r="A33" s="1" t="s">
        <v>28</v>
      </c>
      <c r="B33" s="161">
        <f>118410+1770</f>
        <v>120180</v>
      </c>
      <c r="C33" s="31">
        <v>157043</v>
      </c>
      <c r="D33" s="108"/>
    </row>
    <row r="34" spans="1:7">
      <c r="A34" s="1" t="s">
        <v>29</v>
      </c>
      <c r="B34" s="214">
        <v>37405</v>
      </c>
      <c r="C34" s="84">
        <v>57988</v>
      </c>
      <c r="D34" s="108"/>
    </row>
    <row r="35" spans="1:7">
      <c r="A35" s="3" t="s">
        <v>30</v>
      </c>
      <c r="B35" s="31">
        <f>SUM(B32:B34)</f>
        <v>334538</v>
      </c>
      <c r="C35" s="31">
        <f>SUM(C32:C34)</f>
        <v>426879</v>
      </c>
      <c r="D35" s="108"/>
    </row>
    <row r="36" spans="1:7">
      <c r="A36" s="1" t="s">
        <v>31</v>
      </c>
      <c r="B36" s="215">
        <v>110899</v>
      </c>
      <c r="C36" s="31">
        <v>116288</v>
      </c>
      <c r="D36" s="108"/>
    </row>
    <row r="37" spans="1:7">
      <c r="A37" s="1" t="s">
        <v>32</v>
      </c>
      <c r="B37" s="161">
        <v>237142</v>
      </c>
      <c r="C37" s="31">
        <v>235736</v>
      </c>
      <c r="D37" s="108"/>
    </row>
    <row r="38" spans="1:7">
      <c r="A38" s="1" t="s">
        <v>33</v>
      </c>
      <c r="B38" s="161">
        <v>1089</v>
      </c>
      <c r="C38" s="31">
        <v>1101</v>
      </c>
      <c r="D38" s="108"/>
    </row>
    <row r="39" spans="1:7">
      <c r="A39" s="1" t="s">
        <v>34</v>
      </c>
      <c r="B39" s="161">
        <v>51770</v>
      </c>
      <c r="C39" s="31">
        <v>49674</v>
      </c>
      <c r="D39" s="108"/>
    </row>
    <row r="40" spans="1:7">
      <c r="A40" s="1" t="s">
        <v>35</v>
      </c>
      <c r="B40" s="161">
        <v>153870</v>
      </c>
      <c r="C40" s="31">
        <v>155756</v>
      </c>
      <c r="D40" s="108"/>
    </row>
    <row r="41" spans="1:7">
      <c r="A41" s="1" t="s">
        <v>36</v>
      </c>
      <c r="B41" s="162">
        <f>79315+43-1</f>
        <v>79357</v>
      </c>
      <c r="C41" s="84">
        <v>82094</v>
      </c>
      <c r="D41" s="108"/>
      <c r="G41" s="95"/>
    </row>
    <row r="42" spans="1:7">
      <c r="A42" s="3" t="s">
        <v>59</v>
      </c>
      <c r="B42" s="31">
        <f>SUM(B35:B41)</f>
        <v>968665</v>
      </c>
      <c r="C42" s="31">
        <f>SUM(C35:C41)</f>
        <v>1067528</v>
      </c>
      <c r="D42" s="4"/>
    </row>
    <row r="43" spans="1:7">
      <c r="A43" s="108"/>
      <c r="B43" s="35"/>
      <c r="C43" s="22"/>
      <c r="D43" s="108"/>
    </row>
    <row r="44" spans="1:7">
      <c r="A44" s="6" t="s">
        <v>67</v>
      </c>
      <c r="B44" s="35"/>
      <c r="C44" s="22"/>
      <c r="D44" s="108"/>
    </row>
    <row r="45" spans="1:7">
      <c r="A45" s="1" t="s">
        <v>37</v>
      </c>
      <c r="B45" s="31">
        <v>301</v>
      </c>
      <c r="C45" s="31">
        <v>288</v>
      </c>
      <c r="D45" s="108"/>
    </row>
    <row r="46" spans="1:7">
      <c r="A46" s="1" t="s">
        <v>38</v>
      </c>
      <c r="B46" s="161">
        <v>703712</v>
      </c>
      <c r="C46" s="31">
        <v>724660</v>
      </c>
      <c r="D46" s="108"/>
    </row>
    <row r="47" spans="1:7">
      <c r="A47" s="1" t="s">
        <v>72</v>
      </c>
      <c r="B47" s="161">
        <v>1705988</v>
      </c>
      <c r="C47" s="31">
        <v>1565374</v>
      </c>
      <c r="D47" s="4"/>
      <c r="F47" s="99"/>
      <c r="G47" s="95"/>
    </row>
    <row r="48" spans="1:7">
      <c r="A48" s="1" t="s">
        <v>73</v>
      </c>
      <c r="B48" s="161">
        <v>-1005165</v>
      </c>
      <c r="C48" s="31">
        <v>-986171</v>
      </c>
      <c r="D48" s="4"/>
      <c r="F48" s="99"/>
    </row>
    <row r="49" spans="1:7">
      <c r="A49" s="1" t="s">
        <v>147</v>
      </c>
      <c r="B49" s="161">
        <v>59158</v>
      </c>
      <c r="C49" s="84">
        <v>61429</v>
      </c>
      <c r="D49" s="30"/>
      <c r="G49" s="95"/>
    </row>
    <row r="50" spans="1:7">
      <c r="A50" s="3" t="s">
        <v>70</v>
      </c>
      <c r="B50" s="27">
        <f>SUM(B45:B49)</f>
        <v>1463994</v>
      </c>
      <c r="C50" s="27">
        <f>SUM(C45:C49)</f>
        <v>1365580</v>
      </c>
      <c r="D50" s="108"/>
    </row>
    <row r="51" spans="1:7" ht="13.5" thickBot="1">
      <c r="A51" s="109" t="s">
        <v>71</v>
      </c>
      <c r="B51" s="26">
        <f>+B42+B50</f>
        <v>2432659</v>
      </c>
      <c r="C51" s="26">
        <f>+C42+C50</f>
        <v>2433108</v>
      </c>
      <c r="D51" s="117"/>
    </row>
    <row r="52" spans="1:7" ht="13.5" thickTop="1">
      <c r="A52" s="108"/>
      <c r="B52" s="108"/>
      <c r="C52" s="108"/>
      <c r="D52" s="108"/>
    </row>
    <row r="53" spans="1:7">
      <c r="B53" s="95"/>
      <c r="C53" s="95"/>
    </row>
    <row r="54" spans="1:7">
      <c r="B54" s="97"/>
      <c r="C54" s="95"/>
      <c r="E54" s="98" t="s">
        <v>75</v>
      </c>
      <c r="F54" s="97">
        <f>C47</f>
        <v>1565374</v>
      </c>
    </row>
    <row r="55" spans="1:7">
      <c r="B55" s="95"/>
      <c r="E55" s="98" t="s">
        <v>76</v>
      </c>
      <c r="F55" s="97">
        <f>'Income Statement'!B39</f>
        <v>198108</v>
      </c>
    </row>
    <row r="56" spans="1:7">
      <c r="B56" s="95"/>
      <c r="E56" s="98" t="s">
        <v>77</v>
      </c>
      <c r="F56" s="97">
        <f>SUM(F61:F63)</f>
        <v>-65955</v>
      </c>
      <c r="G56" s="98"/>
    </row>
    <row r="57" spans="1:7">
      <c r="B57" s="95"/>
      <c r="E57" s="98" t="s">
        <v>145</v>
      </c>
      <c r="F57" s="179"/>
    </row>
    <row r="58" spans="1:7" ht="13.5" thickBot="1">
      <c r="F58" s="106">
        <f>SUM(F54:F57)</f>
        <v>1697527</v>
      </c>
      <c r="G58" s="95"/>
    </row>
    <row r="59" spans="1:7" ht="13.5" thickTop="1"/>
    <row r="60" spans="1:7">
      <c r="F60" s="97"/>
    </row>
    <row r="61" spans="1:7">
      <c r="E61" s="98" t="s">
        <v>41</v>
      </c>
      <c r="F61" s="97">
        <v>-66902</v>
      </c>
    </row>
    <row r="62" spans="1:7" ht="25.5">
      <c r="E62" s="98" t="s">
        <v>78</v>
      </c>
      <c r="F62" s="97"/>
    </row>
    <row r="63" spans="1:7" ht="25.5">
      <c r="E63" s="98" t="s">
        <v>170</v>
      </c>
      <c r="F63" s="97">
        <v>947</v>
      </c>
    </row>
  </sheetData>
  <mergeCells count="3">
    <mergeCell ref="A1:C1"/>
    <mergeCell ref="A2:C2"/>
    <mergeCell ref="A3:C3"/>
  </mergeCells>
  <pageMargins left="0.7" right="0.7" top="0.75" bottom="0.7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U93"/>
  <sheetViews>
    <sheetView zoomScaleNormal="100" workbookViewId="0">
      <selection activeCell="H5" sqref="H5"/>
    </sheetView>
  </sheetViews>
  <sheetFormatPr defaultColWidth="21.5" defaultRowHeight="12.75" outlineLevelCol="1"/>
  <cols>
    <col min="1" max="1" width="80.6640625" style="109" bestFit="1" customWidth="1"/>
    <col min="2" max="2" width="19.1640625" style="109" customWidth="1"/>
    <col min="3" max="3" width="19.1640625" style="100" customWidth="1"/>
    <col min="4" max="4" width="3.1640625" style="109" customWidth="1"/>
    <col min="5" max="5" width="25.83203125" style="109" hidden="1" customWidth="1" outlineLevel="1"/>
    <col min="6" max="6" width="24.83203125" style="109" hidden="1" customWidth="1" outlineLevel="1"/>
    <col min="7" max="7" width="3.1640625" style="109" customWidth="1" collapsed="1"/>
    <col min="8" max="16384" width="21.5" style="109"/>
  </cols>
  <sheetData>
    <row r="1" spans="1:21" ht="14.25" customHeight="1">
      <c r="A1" s="217" t="s">
        <v>106</v>
      </c>
      <c r="B1" s="221"/>
      <c r="C1" s="221"/>
      <c r="D1" s="174"/>
      <c r="E1" s="108"/>
      <c r="F1" s="108"/>
      <c r="G1" s="108"/>
      <c r="H1" s="108"/>
      <c r="I1" s="108"/>
      <c r="J1" s="108"/>
      <c r="K1" s="108"/>
      <c r="L1" s="108"/>
      <c r="M1" s="108"/>
      <c r="N1" s="108"/>
      <c r="O1" s="108"/>
      <c r="P1" s="108"/>
      <c r="Q1" s="108"/>
      <c r="R1" s="108"/>
      <c r="S1" s="108"/>
      <c r="T1" s="108"/>
      <c r="U1" s="108"/>
    </row>
    <row r="2" spans="1:21" ht="14.25" customHeight="1">
      <c r="A2" s="217" t="s">
        <v>52</v>
      </c>
      <c r="B2" s="221"/>
      <c r="C2" s="221"/>
      <c r="D2" s="108"/>
      <c r="E2" s="108"/>
      <c r="F2" s="108"/>
      <c r="G2" s="108"/>
      <c r="H2" s="108"/>
      <c r="I2" s="108"/>
      <c r="J2" s="108"/>
      <c r="K2" s="108"/>
      <c r="L2" s="108"/>
      <c r="M2" s="108"/>
      <c r="N2" s="108"/>
      <c r="O2" s="108"/>
      <c r="P2" s="108"/>
      <c r="Q2" s="108"/>
      <c r="R2" s="108"/>
      <c r="S2" s="108"/>
      <c r="T2" s="108"/>
      <c r="U2" s="108"/>
    </row>
    <row r="3" spans="1:21" ht="14.25" customHeight="1">
      <c r="A3" s="217" t="s">
        <v>10</v>
      </c>
      <c r="B3" s="221"/>
      <c r="C3" s="221"/>
      <c r="D3" s="108"/>
      <c r="E3" s="108"/>
      <c r="F3" s="108"/>
      <c r="G3" s="108"/>
      <c r="H3" s="108"/>
      <c r="I3" s="108"/>
      <c r="J3" s="108"/>
      <c r="K3" s="108"/>
      <c r="L3" s="108"/>
      <c r="M3" s="108"/>
      <c r="N3" s="108"/>
      <c r="O3" s="108"/>
      <c r="P3" s="108"/>
      <c r="Q3" s="108"/>
      <c r="R3" s="108"/>
      <c r="S3" s="108"/>
      <c r="T3" s="108"/>
      <c r="U3" s="108"/>
    </row>
    <row r="4" spans="1:21" ht="6.75" customHeight="1">
      <c r="A4" s="5"/>
      <c r="B4" s="108"/>
      <c r="C4" s="7"/>
      <c r="D4" s="108"/>
      <c r="E4" s="108"/>
      <c r="F4" s="108"/>
      <c r="G4" s="108"/>
      <c r="H4" s="108"/>
      <c r="I4" s="108"/>
      <c r="J4" s="108"/>
      <c r="K4" s="108"/>
      <c r="L4" s="108"/>
      <c r="M4" s="108"/>
      <c r="N4" s="108"/>
      <c r="O4" s="108"/>
      <c r="P4" s="108"/>
      <c r="Q4" s="108"/>
      <c r="R4" s="108"/>
      <c r="S4" s="108"/>
      <c r="T4" s="108"/>
      <c r="U4" s="108"/>
    </row>
    <row r="5" spans="1:21" ht="13.5" customHeight="1">
      <c r="A5" s="108"/>
      <c r="B5" s="108"/>
      <c r="C5" s="7"/>
      <c r="D5" s="108"/>
      <c r="E5" s="185" t="s">
        <v>142</v>
      </c>
      <c r="F5" s="108"/>
      <c r="G5" s="108"/>
      <c r="H5" s="108"/>
      <c r="I5" s="108"/>
      <c r="J5" s="108"/>
      <c r="K5" s="108"/>
      <c r="L5" s="108"/>
      <c r="M5" s="108"/>
      <c r="N5" s="108"/>
      <c r="O5" s="108"/>
      <c r="P5" s="108"/>
      <c r="Q5" s="108"/>
      <c r="R5" s="108"/>
      <c r="S5" s="108"/>
      <c r="T5" s="108"/>
      <c r="U5" s="108"/>
    </row>
    <row r="6" spans="1:21" ht="13.5" customHeight="1">
      <c r="A6" s="108"/>
      <c r="B6" s="219" t="s">
        <v>186</v>
      </c>
      <c r="C6" s="219"/>
      <c r="D6" s="108"/>
      <c r="E6" s="71" t="s">
        <v>178</v>
      </c>
      <c r="F6" s="71" t="s">
        <v>93</v>
      </c>
      <c r="G6" s="108"/>
      <c r="H6" s="108"/>
      <c r="I6" s="108"/>
      <c r="J6" s="108"/>
      <c r="K6" s="108"/>
      <c r="L6" s="108"/>
      <c r="M6" s="108"/>
      <c r="N6" s="108"/>
      <c r="O6" s="108"/>
      <c r="P6" s="108"/>
      <c r="Q6" s="108"/>
      <c r="R6" s="108"/>
      <c r="S6" s="108"/>
      <c r="T6" s="108"/>
      <c r="U6" s="108"/>
    </row>
    <row r="7" spans="1:21">
      <c r="A7" s="108"/>
      <c r="B7" s="70">
        <v>2023</v>
      </c>
      <c r="C7" s="70">
        <v>2022</v>
      </c>
      <c r="D7" s="108"/>
      <c r="E7" s="110" t="s">
        <v>173</v>
      </c>
      <c r="F7" s="110" t="s">
        <v>177</v>
      </c>
      <c r="G7" s="108"/>
      <c r="H7" s="108"/>
      <c r="I7" s="108"/>
      <c r="J7" s="108"/>
      <c r="K7" s="108"/>
      <c r="L7" s="108"/>
      <c r="M7" s="108"/>
      <c r="N7" s="108"/>
      <c r="O7" s="108"/>
      <c r="P7" s="108"/>
      <c r="Q7" s="108"/>
      <c r="R7" s="108"/>
      <c r="S7" s="108"/>
      <c r="T7" s="108"/>
      <c r="U7" s="108"/>
    </row>
    <row r="8" spans="1:21" ht="13.5" customHeight="1">
      <c r="A8" s="108"/>
      <c r="B8" s="220" t="s">
        <v>1</v>
      </c>
      <c r="C8" s="220"/>
      <c r="D8" s="108"/>
      <c r="E8" s="108"/>
      <c r="F8" s="108"/>
      <c r="G8" s="108"/>
      <c r="H8" s="108"/>
      <c r="I8" s="108"/>
      <c r="J8" s="108"/>
      <c r="K8" s="108"/>
      <c r="L8" s="108"/>
      <c r="M8" s="108"/>
      <c r="N8" s="108"/>
      <c r="O8" s="108"/>
      <c r="P8" s="108"/>
      <c r="Q8" s="108"/>
      <c r="R8" s="108"/>
      <c r="S8" s="108"/>
      <c r="T8" s="108"/>
      <c r="U8" s="108"/>
    </row>
    <row r="9" spans="1:21" ht="13.5" customHeight="1">
      <c r="A9" s="6" t="s">
        <v>51</v>
      </c>
      <c r="B9" s="7"/>
      <c r="C9" s="7"/>
      <c r="D9" s="108"/>
      <c r="E9" s="108"/>
      <c r="F9" s="108"/>
      <c r="G9" s="108"/>
      <c r="H9" s="108"/>
      <c r="I9" s="108"/>
      <c r="J9" s="108"/>
      <c r="K9" s="108"/>
      <c r="L9" s="108"/>
      <c r="M9" s="108"/>
      <c r="N9" s="108"/>
      <c r="O9" s="108"/>
      <c r="P9" s="108"/>
      <c r="Q9" s="108"/>
      <c r="R9" s="108"/>
      <c r="S9" s="108"/>
      <c r="T9" s="108"/>
      <c r="U9" s="108"/>
    </row>
    <row r="10" spans="1:21" ht="13.5" customHeight="1">
      <c r="A10" s="109" t="s">
        <v>157</v>
      </c>
      <c r="B10" s="53">
        <f>'Income Statement'!B39</f>
        <v>198108</v>
      </c>
      <c r="C10" s="53">
        <f>'Income Statement'!C39</f>
        <v>271872</v>
      </c>
      <c r="D10" s="4"/>
      <c r="E10" s="53">
        <f>'Income Statement'!H39</f>
        <v>860443</v>
      </c>
      <c r="F10" s="40">
        <f>B10-E10</f>
        <v>-662335</v>
      </c>
      <c r="G10" s="108"/>
      <c r="H10" s="108"/>
      <c r="I10" s="108"/>
      <c r="J10" s="108"/>
      <c r="K10" s="108"/>
      <c r="L10" s="108"/>
      <c r="M10" s="108"/>
      <c r="N10" s="108"/>
      <c r="O10" s="108"/>
      <c r="P10" s="108"/>
      <c r="Q10" s="108"/>
      <c r="R10" s="108"/>
      <c r="S10" s="108"/>
      <c r="T10" s="108"/>
      <c r="U10" s="108"/>
    </row>
    <row r="11" spans="1:21" ht="13.5" customHeight="1">
      <c r="A11" s="109" t="s">
        <v>104</v>
      </c>
      <c r="B11" s="33"/>
      <c r="C11" s="33"/>
      <c r="D11" s="108"/>
      <c r="E11" s="33"/>
      <c r="F11" s="33"/>
      <c r="G11" s="108"/>
      <c r="H11" s="108"/>
      <c r="I11" s="108"/>
      <c r="J11" s="108"/>
      <c r="K11" s="108"/>
      <c r="L11" s="108"/>
      <c r="M11" s="108"/>
      <c r="N11" s="108"/>
      <c r="O11" s="108"/>
      <c r="P11" s="108"/>
      <c r="Q11" s="108"/>
      <c r="R11" s="108"/>
      <c r="S11" s="108"/>
      <c r="T11" s="108"/>
      <c r="U11" s="108"/>
    </row>
    <row r="12" spans="1:21" ht="13.5" customHeight="1">
      <c r="A12" s="1" t="s">
        <v>4</v>
      </c>
      <c r="B12" s="31">
        <f>'Income Statement'!B14</f>
        <v>35479</v>
      </c>
      <c r="C12" s="31">
        <f>'Income Statement'!C14</f>
        <v>32210</v>
      </c>
      <c r="D12" s="108"/>
      <c r="E12" s="31">
        <f>'Income Statement'!H14</f>
        <v>98948</v>
      </c>
      <c r="F12" s="9">
        <f>B12-E12</f>
        <v>-63469</v>
      </c>
      <c r="G12" s="108"/>
      <c r="H12" s="108"/>
      <c r="I12" s="108"/>
      <c r="J12" s="108"/>
      <c r="K12" s="108"/>
      <c r="L12" s="108"/>
      <c r="M12" s="108"/>
      <c r="N12" s="108"/>
      <c r="O12" s="108"/>
      <c r="P12" s="108"/>
      <c r="Q12" s="108"/>
      <c r="R12" s="108"/>
      <c r="S12" s="108"/>
      <c r="T12" s="108"/>
      <c r="U12" s="108"/>
    </row>
    <row r="13" spans="1:21" ht="13.5" customHeight="1">
      <c r="A13" s="1" t="s">
        <v>61</v>
      </c>
      <c r="B13" s="31">
        <f>'Income Statement'!B15</f>
        <v>5292</v>
      </c>
      <c r="C13" s="31">
        <f>'Income Statement'!C15</f>
        <v>4430</v>
      </c>
      <c r="D13" s="108"/>
      <c r="E13" s="31">
        <f>'Income Statement'!H15</f>
        <v>13290</v>
      </c>
      <c r="F13" s="9">
        <f t="shared" ref="F13:F16" si="0">B13-E13</f>
        <v>-7998</v>
      </c>
      <c r="G13" s="108"/>
      <c r="H13" s="108"/>
      <c r="I13" s="108"/>
      <c r="J13" s="108"/>
      <c r="K13" s="108"/>
      <c r="L13" s="108"/>
      <c r="M13" s="108"/>
      <c r="N13" s="108"/>
      <c r="O13" s="108"/>
      <c r="P13" s="108"/>
      <c r="Q13" s="108"/>
      <c r="R13" s="108"/>
      <c r="S13" s="108"/>
      <c r="T13" s="108"/>
      <c r="U13" s="108"/>
    </row>
    <row r="14" spans="1:21">
      <c r="A14" s="1" t="s">
        <v>18</v>
      </c>
      <c r="B14" s="31">
        <v>35548</v>
      </c>
      <c r="C14" s="31">
        <v>0</v>
      </c>
      <c r="D14" s="4"/>
      <c r="E14" s="31">
        <v>0</v>
      </c>
      <c r="F14" s="31">
        <f t="shared" si="0"/>
        <v>35548</v>
      </c>
      <c r="G14" s="108"/>
      <c r="H14" s="108"/>
      <c r="I14" s="108"/>
      <c r="J14" s="108"/>
      <c r="K14" s="108"/>
      <c r="L14" s="108"/>
      <c r="M14" s="108"/>
      <c r="N14" s="108"/>
      <c r="O14" s="108"/>
      <c r="P14" s="108"/>
      <c r="Q14" s="108"/>
      <c r="R14" s="108"/>
      <c r="S14" s="108"/>
      <c r="T14" s="108"/>
      <c r="U14" s="108"/>
    </row>
    <row r="15" spans="1:21" ht="13.5" customHeight="1">
      <c r="A15" s="1" t="s">
        <v>50</v>
      </c>
      <c r="B15" s="31">
        <v>6767</v>
      </c>
      <c r="C15" s="31">
        <v>8203</v>
      </c>
      <c r="D15" s="108"/>
      <c r="E15" s="31">
        <v>20837</v>
      </c>
      <c r="F15" s="31">
        <f t="shared" si="0"/>
        <v>-14070</v>
      </c>
      <c r="G15" s="108"/>
      <c r="H15" s="108"/>
      <c r="I15" s="108"/>
      <c r="J15" s="108"/>
      <c r="K15" s="108"/>
      <c r="L15" s="108"/>
      <c r="M15" s="108"/>
      <c r="N15" s="108"/>
      <c r="O15" s="108"/>
      <c r="P15" s="108"/>
      <c r="Q15" s="108"/>
      <c r="R15" s="108"/>
      <c r="S15" s="108"/>
      <c r="T15" s="108"/>
      <c r="U15" s="108"/>
    </row>
    <row r="16" spans="1:21" ht="13.5" customHeight="1">
      <c r="A16" s="1" t="s">
        <v>49</v>
      </c>
      <c r="B16" s="31">
        <v>450</v>
      </c>
      <c r="C16" s="31">
        <v>770</v>
      </c>
      <c r="D16" s="108"/>
      <c r="E16" s="31">
        <v>1958</v>
      </c>
      <c r="F16" s="31">
        <f t="shared" si="0"/>
        <v>-1508</v>
      </c>
      <c r="G16" s="108"/>
      <c r="H16" s="108"/>
      <c r="I16" s="108"/>
      <c r="J16" s="108"/>
      <c r="K16" s="108"/>
      <c r="L16" s="108"/>
      <c r="M16" s="108"/>
      <c r="N16" s="108"/>
      <c r="O16" s="108"/>
      <c r="P16" s="108"/>
      <c r="Q16" s="108"/>
      <c r="R16" s="108"/>
      <c r="S16" s="108"/>
      <c r="T16" s="108"/>
      <c r="U16" s="108"/>
    </row>
    <row r="17" spans="1:21">
      <c r="A17" s="1" t="s">
        <v>198</v>
      </c>
      <c r="B17" s="31">
        <v>-279</v>
      </c>
      <c r="C17" s="31">
        <v>-352</v>
      </c>
      <c r="D17" s="108"/>
      <c r="E17" s="31">
        <v>-1012</v>
      </c>
      <c r="F17" s="31">
        <f>B17-E17</f>
        <v>733</v>
      </c>
      <c r="G17" s="108"/>
      <c r="H17" s="108"/>
      <c r="I17" s="108"/>
      <c r="J17" s="108"/>
      <c r="K17" s="108"/>
      <c r="L17" s="108"/>
      <c r="M17" s="108"/>
      <c r="N17" s="108"/>
      <c r="O17" s="108"/>
      <c r="P17" s="108"/>
      <c r="Q17" s="108"/>
      <c r="R17" s="108"/>
      <c r="S17" s="108"/>
      <c r="T17" s="108"/>
      <c r="U17" s="108"/>
    </row>
    <row r="18" spans="1:21" s="164" customFormat="1">
      <c r="A18" s="12" t="s">
        <v>138</v>
      </c>
      <c r="B18" s="31">
        <v>-3887</v>
      </c>
      <c r="C18" s="31">
        <v>-4278</v>
      </c>
      <c r="D18" s="163"/>
      <c r="E18" s="31">
        <v>-11229</v>
      </c>
      <c r="F18" s="31">
        <f>B18-E18</f>
        <v>7342</v>
      </c>
      <c r="G18" s="163"/>
      <c r="H18" s="30"/>
      <c r="I18" s="163"/>
      <c r="J18" s="163"/>
      <c r="K18" s="163"/>
      <c r="L18" s="163"/>
      <c r="M18" s="163"/>
      <c r="N18" s="163"/>
      <c r="O18" s="163"/>
      <c r="P18" s="163"/>
      <c r="Q18" s="163"/>
      <c r="R18" s="163"/>
      <c r="S18" s="163"/>
      <c r="T18" s="163"/>
      <c r="U18" s="163"/>
    </row>
    <row r="19" spans="1:21" s="167" customFormat="1">
      <c r="A19" s="1" t="s">
        <v>140</v>
      </c>
      <c r="B19" s="31">
        <v>-1141</v>
      </c>
      <c r="C19" s="31">
        <v>-20000</v>
      </c>
      <c r="D19" s="166"/>
      <c r="E19" s="31">
        <v>-110000</v>
      </c>
      <c r="F19" s="31">
        <f>B19-E19</f>
        <v>108859</v>
      </c>
      <c r="G19" s="166"/>
      <c r="H19" s="166"/>
      <c r="I19" s="166"/>
      <c r="J19" s="166"/>
      <c r="K19" s="166"/>
      <c r="L19" s="166"/>
      <c r="M19" s="166"/>
      <c r="N19" s="166"/>
      <c r="O19" s="166"/>
      <c r="P19" s="166"/>
      <c r="Q19" s="166"/>
      <c r="R19" s="166"/>
      <c r="S19" s="166"/>
      <c r="T19" s="166"/>
      <c r="U19" s="166"/>
    </row>
    <row r="20" spans="1:21">
      <c r="A20" s="1" t="s">
        <v>48</v>
      </c>
      <c r="B20" s="35"/>
      <c r="D20" s="108"/>
      <c r="E20" s="35"/>
      <c r="F20" s="31"/>
      <c r="G20" s="108"/>
      <c r="H20" s="108"/>
      <c r="I20" s="108"/>
      <c r="J20" s="108"/>
      <c r="K20" s="108"/>
      <c r="L20" s="108"/>
      <c r="M20" s="108"/>
      <c r="N20" s="108"/>
      <c r="O20" s="108"/>
      <c r="P20" s="108"/>
      <c r="Q20" s="108"/>
      <c r="R20" s="108"/>
      <c r="S20" s="108"/>
      <c r="T20" s="108"/>
      <c r="U20" s="108"/>
    </row>
    <row r="21" spans="1:21" ht="13.5" customHeight="1">
      <c r="A21" s="3" t="s">
        <v>47</v>
      </c>
      <c r="B21" s="31">
        <v>-57968</v>
      </c>
      <c r="C21" s="35">
        <v>-399</v>
      </c>
      <c r="D21" s="108"/>
      <c r="E21" s="31">
        <v>108635</v>
      </c>
      <c r="F21" s="31">
        <f t="shared" ref="F21:F26" si="1">B21-E21</f>
        <v>-166603</v>
      </c>
      <c r="G21" s="108"/>
      <c r="H21" s="30"/>
      <c r="I21" s="108"/>
      <c r="J21" s="108"/>
      <c r="K21" s="108"/>
      <c r="L21" s="108"/>
      <c r="M21" s="108"/>
      <c r="N21" s="108"/>
      <c r="O21" s="108"/>
      <c r="P21" s="108"/>
      <c r="Q21" s="108"/>
      <c r="R21" s="108"/>
      <c r="S21" s="108"/>
      <c r="T21" s="108"/>
      <c r="U21" s="108"/>
    </row>
    <row r="22" spans="1:21" ht="13.5" customHeight="1">
      <c r="A22" s="3" t="s">
        <v>17</v>
      </c>
      <c r="B22" s="31">
        <v>-48140</v>
      </c>
      <c r="C22" s="31">
        <v>-47263</v>
      </c>
      <c r="D22" s="108"/>
      <c r="E22" s="31">
        <v>-58438</v>
      </c>
      <c r="F22" s="31">
        <f t="shared" si="1"/>
        <v>10298</v>
      </c>
      <c r="G22" s="108"/>
      <c r="H22" s="30"/>
      <c r="I22" s="108"/>
      <c r="J22" s="108"/>
      <c r="K22" s="108"/>
      <c r="L22" s="108"/>
      <c r="M22" s="108"/>
      <c r="N22" s="108"/>
      <c r="O22" s="108"/>
      <c r="P22" s="108"/>
      <c r="Q22" s="108"/>
      <c r="R22" s="108"/>
      <c r="S22" s="108"/>
      <c r="T22" s="108"/>
      <c r="U22" s="108"/>
    </row>
    <row r="23" spans="1:21" ht="13.5" customHeight="1">
      <c r="A23" s="3" t="s">
        <v>46</v>
      </c>
      <c r="B23" s="31">
        <v>-63508</v>
      </c>
      <c r="C23" s="31">
        <v>14115</v>
      </c>
      <c r="D23" s="4"/>
      <c r="E23" s="31">
        <v>58791</v>
      </c>
      <c r="F23" s="31">
        <f t="shared" si="1"/>
        <v>-122299</v>
      </c>
      <c r="G23" s="108"/>
      <c r="H23" s="30"/>
      <c r="I23" s="108"/>
      <c r="J23" s="108"/>
      <c r="K23" s="108"/>
      <c r="L23" s="108"/>
      <c r="M23" s="108"/>
      <c r="N23" s="108"/>
      <c r="O23" s="108"/>
      <c r="P23" s="108"/>
      <c r="Q23" s="108"/>
      <c r="R23" s="108"/>
      <c r="S23" s="108"/>
      <c r="T23" s="108"/>
      <c r="U23" s="108"/>
    </row>
    <row r="24" spans="1:21" ht="13.5" customHeight="1">
      <c r="A24" s="3" t="s">
        <v>69</v>
      </c>
      <c r="B24" s="31">
        <v>1491</v>
      </c>
      <c r="C24" s="31">
        <v>442</v>
      </c>
      <c r="D24" s="4"/>
      <c r="E24" s="31">
        <v>826</v>
      </c>
      <c r="F24" s="31">
        <f t="shared" si="1"/>
        <v>665</v>
      </c>
      <c r="G24" s="30"/>
      <c r="H24" s="108"/>
      <c r="I24" s="108"/>
      <c r="J24" s="108"/>
      <c r="K24" s="108"/>
      <c r="L24" s="108"/>
      <c r="M24" s="108"/>
      <c r="N24" s="108"/>
      <c r="O24" s="108"/>
      <c r="P24" s="108"/>
      <c r="Q24" s="108"/>
      <c r="R24" s="108"/>
      <c r="S24" s="108"/>
      <c r="T24" s="108"/>
      <c r="U24" s="108"/>
    </row>
    <row r="25" spans="1:21" s="183" customFormat="1" ht="13.5" customHeight="1">
      <c r="A25" s="15" t="s">
        <v>150</v>
      </c>
      <c r="B25" s="31">
        <v>-1462</v>
      </c>
      <c r="C25" s="31">
        <v>15833</v>
      </c>
      <c r="D25" s="4"/>
      <c r="E25" s="31">
        <v>5144</v>
      </c>
      <c r="F25" s="31">
        <f t="shared" ref="F25" si="2">B25-E25</f>
        <v>-6606</v>
      </c>
      <c r="G25" s="30"/>
      <c r="H25" s="182"/>
      <c r="I25" s="182"/>
      <c r="J25" s="182"/>
      <c r="K25" s="182"/>
      <c r="L25" s="182"/>
      <c r="M25" s="182"/>
      <c r="N25" s="182"/>
      <c r="O25" s="182"/>
      <c r="P25" s="182"/>
      <c r="Q25" s="182"/>
      <c r="R25" s="182"/>
      <c r="S25" s="182"/>
      <c r="T25" s="182"/>
      <c r="U25" s="182"/>
    </row>
    <row r="26" spans="1:21" ht="13.5" customHeight="1">
      <c r="A26" s="1" t="s">
        <v>40</v>
      </c>
      <c r="B26" s="31">
        <f>183+1126-67-22+2455-242+36+15902</f>
        <v>19371</v>
      </c>
      <c r="C26" s="31">
        <v>17356</v>
      </c>
      <c r="D26" s="4"/>
      <c r="E26" s="31">
        <v>27038</v>
      </c>
      <c r="F26" s="31">
        <f t="shared" si="1"/>
        <v>-7667</v>
      </c>
      <c r="G26" s="108"/>
      <c r="H26" s="108"/>
      <c r="I26" s="108"/>
      <c r="J26" s="108"/>
      <c r="K26" s="108"/>
      <c r="L26" s="108"/>
      <c r="M26" s="108"/>
      <c r="N26" s="108"/>
      <c r="O26" s="108"/>
      <c r="P26" s="108"/>
      <c r="Q26" s="108"/>
      <c r="R26" s="108"/>
      <c r="S26" s="108"/>
      <c r="T26" s="108"/>
      <c r="U26" s="108"/>
    </row>
    <row r="27" spans="1:21" ht="13.5" customHeight="1">
      <c r="A27" s="8" t="s">
        <v>108</v>
      </c>
      <c r="B27" s="41">
        <f>SUM(B10:B26)</f>
        <v>126121</v>
      </c>
      <c r="C27" s="41">
        <f>SUM(C10:C26)</f>
        <v>292939</v>
      </c>
      <c r="D27" s="2"/>
      <c r="E27" s="41">
        <f>SUM(E10:E26)</f>
        <v>1015231</v>
      </c>
      <c r="F27" s="28">
        <f>SUM(F10:F26)</f>
        <v>-889110</v>
      </c>
      <c r="G27" s="129"/>
      <c r="H27" s="4"/>
      <c r="I27" s="4"/>
      <c r="J27" s="30"/>
      <c r="K27" s="108"/>
      <c r="L27" s="108"/>
      <c r="M27" s="108"/>
      <c r="N27" s="108"/>
      <c r="O27" s="108"/>
      <c r="P27" s="108"/>
      <c r="Q27" s="108"/>
      <c r="R27" s="108"/>
      <c r="S27" s="108"/>
      <c r="T27" s="108"/>
      <c r="U27" s="108"/>
    </row>
    <row r="28" spans="1:21" ht="13.5" customHeight="1">
      <c r="A28" s="108"/>
      <c r="B28" s="108"/>
      <c r="C28" s="35"/>
      <c r="D28" s="108"/>
      <c r="E28" s="200"/>
      <c r="F28" s="58"/>
      <c r="G28" s="108"/>
      <c r="H28" s="108"/>
      <c r="I28" s="4"/>
      <c r="J28" s="108"/>
      <c r="K28" s="108"/>
      <c r="L28" s="108"/>
      <c r="M28" s="108"/>
      <c r="N28" s="108"/>
      <c r="O28" s="108"/>
      <c r="P28" s="108"/>
      <c r="Q28" s="108"/>
      <c r="R28" s="108"/>
      <c r="S28" s="108"/>
      <c r="T28" s="108"/>
      <c r="U28" s="108"/>
    </row>
    <row r="29" spans="1:21" ht="13.5" customHeight="1">
      <c r="A29" s="6" t="s">
        <v>45</v>
      </c>
      <c r="B29" s="30"/>
      <c r="C29" s="35"/>
      <c r="D29" s="108"/>
      <c r="E29" s="30"/>
      <c r="F29" s="33"/>
      <c r="G29" s="108"/>
      <c r="H29" s="108"/>
      <c r="I29" s="108"/>
      <c r="J29" s="108"/>
      <c r="K29" s="108"/>
      <c r="L29" s="108"/>
      <c r="M29" s="108"/>
      <c r="N29" s="108"/>
      <c r="O29" s="108"/>
      <c r="P29" s="108"/>
      <c r="Q29" s="108"/>
      <c r="R29" s="108"/>
      <c r="S29" s="108"/>
      <c r="T29" s="108"/>
      <c r="U29" s="108"/>
    </row>
    <row r="30" spans="1:21" ht="13.5" customHeight="1">
      <c r="A30" s="1" t="s">
        <v>44</v>
      </c>
      <c r="B30" s="31">
        <v>-30541</v>
      </c>
      <c r="C30" s="31">
        <v>-22288</v>
      </c>
      <c r="D30" s="108"/>
      <c r="E30" s="31">
        <v>-94517</v>
      </c>
      <c r="F30" s="31">
        <f t="shared" ref="F30:F35" si="3">B30-E30</f>
        <v>63976</v>
      </c>
      <c r="G30" s="108"/>
      <c r="H30" s="4"/>
      <c r="I30" s="108"/>
      <c r="J30" s="108"/>
      <c r="K30" s="108"/>
      <c r="L30" s="108"/>
      <c r="M30" s="108"/>
      <c r="N30" s="108"/>
      <c r="O30" s="108"/>
      <c r="P30" s="108"/>
      <c r="Q30" s="108"/>
      <c r="R30" s="108"/>
      <c r="S30" s="108"/>
      <c r="T30" s="108"/>
      <c r="U30" s="108"/>
    </row>
    <row r="31" spans="1:21" ht="13.5" customHeight="1">
      <c r="A31" s="1" t="s">
        <v>60</v>
      </c>
      <c r="B31" s="31">
        <v>-113</v>
      </c>
      <c r="C31" s="31">
        <v>0</v>
      </c>
      <c r="D31" s="108"/>
      <c r="E31" s="31">
        <v>-1069</v>
      </c>
      <c r="F31" s="31">
        <f t="shared" si="3"/>
        <v>956</v>
      </c>
      <c r="G31" s="108"/>
      <c r="H31" s="4"/>
      <c r="I31" s="108"/>
      <c r="J31" s="108"/>
      <c r="K31" s="108"/>
      <c r="L31" s="108"/>
      <c r="M31" s="108"/>
      <c r="N31" s="108"/>
      <c r="O31" s="108"/>
      <c r="P31" s="108"/>
      <c r="Q31" s="108"/>
      <c r="R31" s="108"/>
      <c r="S31" s="108"/>
      <c r="T31" s="108"/>
      <c r="U31" s="108"/>
    </row>
    <row r="32" spans="1:21" ht="13.5" customHeight="1">
      <c r="A32" s="1" t="s">
        <v>92</v>
      </c>
      <c r="B32" s="31">
        <v>343</v>
      </c>
      <c r="C32" s="31">
        <v>360</v>
      </c>
      <c r="D32" s="108"/>
      <c r="E32" s="31">
        <v>1963</v>
      </c>
      <c r="F32" s="31">
        <f t="shared" si="3"/>
        <v>-1620</v>
      </c>
      <c r="G32" s="108"/>
      <c r="H32" s="4"/>
      <c r="I32" s="108"/>
      <c r="J32" s="108"/>
      <c r="K32" s="108"/>
      <c r="L32" s="108"/>
      <c r="M32" s="108"/>
      <c r="N32" s="108"/>
      <c r="O32" s="108"/>
      <c r="P32" s="108"/>
      <c r="Q32" s="108"/>
      <c r="R32" s="108"/>
      <c r="S32" s="108"/>
      <c r="T32" s="108"/>
      <c r="U32" s="108"/>
    </row>
    <row r="33" spans="1:21" ht="15.75" customHeight="1">
      <c r="A33" s="1" t="s">
        <v>112</v>
      </c>
      <c r="B33" s="31">
        <v>-2930</v>
      </c>
      <c r="C33" s="31">
        <v>0</v>
      </c>
      <c r="D33" s="108"/>
      <c r="E33" s="31">
        <v>-10675</v>
      </c>
      <c r="F33" s="31">
        <f t="shared" si="3"/>
        <v>7745</v>
      </c>
      <c r="G33" s="108"/>
      <c r="H33" s="4"/>
      <c r="I33" s="108"/>
      <c r="J33" s="108"/>
      <c r="K33" s="108"/>
      <c r="L33" s="108"/>
      <c r="M33" s="108"/>
      <c r="N33" s="108"/>
      <c r="O33" s="108"/>
      <c r="P33" s="108"/>
      <c r="Q33" s="108"/>
      <c r="R33" s="108"/>
      <c r="S33" s="108"/>
      <c r="T33" s="108"/>
      <c r="U33" s="108"/>
    </row>
    <row r="34" spans="1:21" ht="13.5" customHeight="1">
      <c r="A34" s="1" t="s">
        <v>111</v>
      </c>
      <c r="B34" s="31">
        <v>8000</v>
      </c>
      <c r="C34" s="31">
        <v>14450</v>
      </c>
      <c r="D34" s="108"/>
      <c r="E34" s="31">
        <v>14450</v>
      </c>
      <c r="F34" s="31">
        <f t="shared" si="3"/>
        <v>-6450</v>
      </c>
      <c r="G34" s="108"/>
      <c r="H34" s="4"/>
      <c r="I34" s="108"/>
      <c r="J34" s="108"/>
      <c r="K34" s="108"/>
      <c r="L34" s="108"/>
      <c r="M34" s="108"/>
      <c r="N34" s="108"/>
      <c r="O34" s="108"/>
      <c r="P34" s="108"/>
      <c r="Q34" s="108"/>
      <c r="R34" s="108"/>
      <c r="S34" s="108"/>
      <c r="T34" s="108"/>
      <c r="U34" s="108"/>
    </row>
    <row r="35" spans="1:21" ht="13.5" customHeight="1">
      <c r="A35" s="1" t="s">
        <v>43</v>
      </c>
      <c r="B35" s="84">
        <v>-4329</v>
      </c>
      <c r="C35" s="84">
        <v>-2088</v>
      </c>
      <c r="D35" s="108"/>
      <c r="E35" s="84">
        <v>-6692</v>
      </c>
      <c r="F35" s="84">
        <f t="shared" si="3"/>
        <v>2363</v>
      </c>
      <c r="G35" s="108"/>
      <c r="H35" s="4"/>
      <c r="I35" s="108"/>
      <c r="J35" s="108"/>
      <c r="K35" s="108"/>
      <c r="L35" s="108"/>
      <c r="M35" s="108"/>
      <c r="N35" s="108"/>
      <c r="O35" s="108"/>
      <c r="P35" s="108"/>
      <c r="Q35" s="108"/>
      <c r="R35" s="108"/>
      <c r="S35" s="108"/>
      <c r="T35" s="108"/>
      <c r="U35" s="108"/>
    </row>
    <row r="36" spans="1:21" ht="13.5" customHeight="1">
      <c r="A36" s="8" t="s">
        <v>96</v>
      </c>
      <c r="B36" s="31">
        <f>SUM(B30:B35)</f>
        <v>-29570</v>
      </c>
      <c r="C36" s="31">
        <f>SUM(C30:C35)</f>
        <v>-9566</v>
      </c>
      <c r="D36" s="4"/>
      <c r="E36" s="31">
        <f>SUM(E30:E35)</f>
        <v>-96540</v>
      </c>
      <c r="F36" s="31">
        <f>SUM(F30:F35)</f>
        <v>66970</v>
      </c>
      <c r="G36" s="127"/>
      <c r="H36" s="4"/>
      <c r="I36" s="4"/>
      <c r="J36" s="30"/>
      <c r="K36" s="108"/>
      <c r="L36" s="108"/>
      <c r="M36" s="108"/>
      <c r="N36" s="108"/>
      <c r="O36" s="108"/>
      <c r="P36" s="108"/>
      <c r="Q36" s="108"/>
      <c r="R36" s="108"/>
      <c r="S36" s="108"/>
      <c r="T36" s="108"/>
      <c r="U36" s="108"/>
    </row>
    <row r="37" spans="1:21" ht="13.5" customHeight="1">
      <c r="A37" s="108"/>
      <c r="B37" s="35"/>
      <c r="C37" s="35"/>
      <c r="D37" s="108"/>
      <c r="E37" s="35"/>
      <c r="G37" s="108"/>
      <c r="H37" s="108"/>
      <c r="I37" s="108"/>
      <c r="J37" s="108"/>
      <c r="K37" s="108"/>
      <c r="L37" s="108"/>
      <c r="M37" s="108"/>
      <c r="N37" s="108"/>
      <c r="O37" s="108"/>
      <c r="P37" s="108"/>
      <c r="Q37" s="108"/>
      <c r="R37" s="108"/>
      <c r="S37" s="108"/>
      <c r="T37" s="108"/>
      <c r="U37" s="108"/>
    </row>
    <row r="38" spans="1:21" ht="13.5" customHeight="1">
      <c r="A38" s="6" t="s">
        <v>109</v>
      </c>
      <c r="B38" s="35"/>
      <c r="C38" s="35"/>
      <c r="D38" s="108"/>
      <c r="E38" s="35"/>
      <c r="F38" s="33"/>
      <c r="G38" s="108"/>
      <c r="H38" s="108"/>
      <c r="I38" s="108"/>
      <c r="J38" s="108"/>
      <c r="K38" s="108"/>
      <c r="L38" s="108"/>
      <c r="M38" s="108"/>
      <c r="N38" s="108"/>
      <c r="O38" s="108"/>
      <c r="P38" s="108"/>
      <c r="Q38" s="108"/>
      <c r="R38" s="108"/>
      <c r="S38" s="108"/>
      <c r="T38" s="108"/>
      <c r="U38" s="108"/>
    </row>
    <row r="39" spans="1:21">
      <c r="A39" s="1" t="s">
        <v>89</v>
      </c>
      <c r="B39" s="31">
        <v>-750</v>
      </c>
      <c r="C39" s="31">
        <v>-271537</v>
      </c>
      <c r="D39" s="108"/>
      <c r="E39" s="31">
        <v>-273038</v>
      </c>
      <c r="F39" s="31">
        <f t="shared" ref="F39:F42" si="4">B39-E39</f>
        <v>272288</v>
      </c>
      <c r="G39" s="108"/>
      <c r="H39" s="108"/>
      <c r="I39" s="108"/>
      <c r="J39" s="108"/>
      <c r="K39" s="108"/>
      <c r="L39" s="108"/>
      <c r="M39" s="108"/>
      <c r="N39" s="108"/>
      <c r="O39" s="108"/>
      <c r="P39" s="108"/>
      <c r="Q39" s="108"/>
      <c r="R39" s="108"/>
      <c r="S39" s="108"/>
      <c r="T39" s="108"/>
      <c r="U39" s="108"/>
    </row>
    <row r="40" spans="1:21" s="126" customFormat="1" hidden="1">
      <c r="A40" s="1" t="s">
        <v>123</v>
      </c>
      <c r="B40" s="31"/>
      <c r="C40" s="31">
        <v>0</v>
      </c>
      <c r="D40" s="125"/>
      <c r="E40" s="31">
        <v>0</v>
      </c>
      <c r="F40" s="31">
        <f t="shared" si="4"/>
        <v>0</v>
      </c>
      <c r="G40" s="125"/>
      <c r="H40" s="125"/>
      <c r="I40" s="125"/>
      <c r="J40" s="125"/>
      <c r="K40" s="125"/>
      <c r="L40" s="125"/>
      <c r="M40" s="125"/>
      <c r="N40" s="125"/>
      <c r="O40" s="125"/>
      <c r="P40" s="125"/>
      <c r="Q40" s="125"/>
      <c r="R40" s="125"/>
      <c r="S40" s="125"/>
      <c r="T40" s="125"/>
      <c r="U40" s="125"/>
    </row>
    <row r="41" spans="1:21" s="191" customFormat="1">
      <c r="A41" s="1" t="s">
        <v>171</v>
      </c>
      <c r="B41" s="31">
        <v>-58430</v>
      </c>
      <c r="C41" s="31">
        <v>0</v>
      </c>
      <c r="D41" s="190"/>
      <c r="E41" s="31">
        <v>-149273</v>
      </c>
      <c r="F41" s="31">
        <f t="shared" si="4"/>
        <v>90843</v>
      </c>
      <c r="G41" s="190"/>
      <c r="H41" s="190"/>
      <c r="I41" s="190"/>
      <c r="J41" s="190"/>
      <c r="K41" s="190"/>
      <c r="L41" s="190"/>
      <c r="M41" s="190"/>
      <c r="N41" s="190"/>
      <c r="O41" s="190"/>
      <c r="P41" s="190"/>
      <c r="Q41" s="190"/>
      <c r="R41" s="190"/>
      <c r="S41" s="190"/>
      <c r="T41" s="190"/>
      <c r="U41" s="190"/>
    </row>
    <row r="42" spans="1:21" s="128" customFormat="1" ht="14.25" hidden="1" customHeight="1">
      <c r="A42" s="1" t="s">
        <v>124</v>
      </c>
      <c r="B42" s="31"/>
      <c r="C42" s="31">
        <v>0</v>
      </c>
      <c r="D42" s="127"/>
      <c r="E42" s="31">
        <v>0</v>
      </c>
      <c r="F42" s="31">
        <f t="shared" si="4"/>
        <v>0</v>
      </c>
      <c r="G42" s="127"/>
      <c r="H42" s="127"/>
      <c r="I42" s="127"/>
      <c r="J42" s="127"/>
      <c r="K42" s="127"/>
      <c r="L42" s="127"/>
      <c r="M42" s="127"/>
      <c r="N42" s="127"/>
      <c r="O42" s="127"/>
      <c r="P42" s="127"/>
      <c r="Q42" s="127"/>
      <c r="R42" s="127"/>
      <c r="S42" s="127"/>
      <c r="T42" s="127"/>
      <c r="U42" s="127"/>
    </row>
    <row r="43" spans="1:21">
      <c r="A43" s="1" t="s">
        <v>105</v>
      </c>
      <c r="B43" s="31">
        <v>-12647</v>
      </c>
      <c r="C43" s="31">
        <v>-10134</v>
      </c>
      <c r="D43" s="108"/>
      <c r="E43" s="31">
        <v>-23942</v>
      </c>
      <c r="F43" s="31">
        <f t="shared" ref="F43:F48" si="5">B43-E43</f>
        <v>11295</v>
      </c>
      <c r="G43" s="108"/>
      <c r="H43" s="108"/>
      <c r="I43" s="108"/>
      <c r="J43" s="108"/>
      <c r="K43" s="108"/>
      <c r="L43" s="108"/>
      <c r="M43" s="108"/>
      <c r="N43" s="108"/>
      <c r="O43" s="108"/>
      <c r="P43" s="108"/>
      <c r="Q43" s="108"/>
      <c r="R43" s="108"/>
      <c r="S43" s="108"/>
      <c r="T43" s="108"/>
      <c r="U43" s="108"/>
    </row>
    <row r="44" spans="1:21" hidden="1">
      <c r="A44" s="1" t="s">
        <v>42</v>
      </c>
      <c r="B44" s="31">
        <v>0</v>
      </c>
      <c r="C44" s="31">
        <v>0</v>
      </c>
      <c r="D44" s="108"/>
      <c r="E44" s="31">
        <v>-690</v>
      </c>
      <c r="F44" s="31">
        <f t="shared" si="5"/>
        <v>690</v>
      </c>
      <c r="G44" s="108"/>
      <c r="H44" s="108"/>
      <c r="I44" s="108"/>
      <c r="J44" s="108"/>
      <c r="K44" s="108"/>
      <c r="L44" s="108"/>
      <c r="M44" s="108"/>
      <c r="N44" s="108"/>
      <c r="O44" s="108"/>
      <c r="P44" s="108"/>
      <c r="Q44" s="108"/>
      <c r="R44" s="108"/>
      <c r="S44" s="108"/>
      <c r="T44" s="108"/>
      <c r="U44" s="108"/>
    </row>
    <row r="45" spans="1:21" s="198" customFormat="1">
      <c r="A45" s="1" t="s">
        <v>174</v>
      </c>
      <c r="B45" s="31">
        <v>-20806</v>
      </c>
      <c r="C45" s="31">
        <v>0</v>
      </c>
      <c r="D45" s="197"/>
      <c r="E45" s="31">
        <v>-56498</v>
      </c>
      <c r="F45" s="31">
        <f t="shared" si="5"/>
        <v>35692</v>
      </c>
      <c r="G45" s="197"/>
      <c r="H45" s="197"/>
      <c r="I45" s="197"/>
      <c r="J45" s="197"/>
      <c r="K45" s="197"/>
      <c r="L45" s="197"/>
      <c r="M45" s="197"/>
      <c r="N45" s="197"/>
      <c r="O45" s="197"/>
      <c r="P45" s="197"/>
      <c r="Q45" s="197"/>
      <c r="R45" s="197"/>
      <c r="S45" s="197"/>
      <c r="T45" s="197"/>
      <c r="U45" s="197"/>
    </row>
    <row r="46" spans="1:21">
      <c r="A46" s="1" t="s">
        <v>41</v>
      </c>
      <c r="B46" s="31">
        <v>-66902</v>
      </c>
      <c r="C46" s="31">
        <v>-3851</v>
      </c>
      <c r="D46" s="30"/>
      <c r="E46" s="31">
        <v>-264638</v>
      </c>
      <c r="F46" s="31">
        <f t="shared" si="5"/>
        <v>197736</v>
      </c>
      <c r="G46" s="30"/>
      <c r="H46" s="108"/>
      <c r="I46" s="108"/>
      <c r="J46" s="108"/>
      <c r="K46" s="108"/>
      <c r="L46" s="108"/>
      <c r="M46" s="108"/>
      <c r="N46" s="108"/>
      <c r="O46" s="108"/>
      <c r="P46" s="108"/>
      <c r="Q46" s="108"/>
      <c r="R46" s="108"/>
      <c r="S46" s="108"/>
      <c r="T46" s="108"/>
      <c r="U46" s="108"/>
    </row>
    <row r="47" spans="1:21">
      <c r="A47" s="1" t="s">
        <v>103</v>
      </c>
      <c r="B47" s="31">
        <v>-27055</v>
      </c>
      <c r="C47" s="31">
        <v>-4827</v>
      </c>
      <c r="D47" s="108"/>
      <c r="E47" s="31">
        <v>-4908</v>
      </c>
      <c r="F47" s="31">
        <f t="shared" si="5"/>
        <v>-22147</v>
      </c>
      <c r="G47" s="108"/>
      <c r="H47" s="108"/>
      <c r="I47" s="108"/>
      <c r="J47" s="108"/>
      <c r="K47" s="108"/>
      <c r="L47" s="108"/>
      <c r="M47" s="108"/>
      <c r="N47" s="108"/>
      <c r="O47" s="108"/>
      <c r="P47" s="108"/>
      <c r="Q47" s="108"/>
      <c r="R47" s="108"/>
      <c r="S47" s="108"/>
      <c r="T47" s="108"/>
      <c r="U47" s="108"/>
    </row>
    <row r="48" spans="1:21">
      <c r="A48" s="1" t="s">
        <v>139</v>
      </c>
      <c r="B48" s="25">
        <v>43719</v>
      </c>
      <c r="C48" s="25">
        <v>506</v>
      </c>
      <c r="D48" s="108"/>
      <c r="E48" s="25">
        <v>19422</v>
      </c>
      <c r="F48" s="25">
        <f t="shared" si="5"/>
        <v>24297</v>
      </c>
      <c r="G48" s="108"/>
      <c r="H48" s="108"/>
      <c r="I48" s="108"/>
      <c r="J48" s="108"/>
      <c r="K48" s="108"/>
      <c r="L48" s="108"/>
      <c r="M48" s="108"/>
      <c r="N48" s="108"/>
      <c r="O48" s="108"/>
      <c r="P48" s="108"/>
      <c r="Q48" s="108"/>
      <c r="R48" s="108"/>
      <c r="S48" s="108"/>
      <c r="T48" s="108"/>
      <c r="U48" s="108"/>
    </row>
    <row r="49" spans="1:21">
      <c r="A49" s="3" t="s">
        <v>194</v>
      </c>
      <c r="B49" s="27">
        <f>SUM(B39:B48)</f>
        <v>-142871</v>
      </c>
      <c r="C49" s="27">
        <f>SUM(C39:C48)</f>
        <v>-289843</v>
      </c>
      <c r="D49" s="108"/>
      <c r="E49" s="27">
        <f>SUM(E39:E48)</f>
        <v>-753565</v>
      </c>
      <c r="F49" s="27">
        <f>SUM(F39:F48)</f>
        <v>610694</v>
      </c>
      <c r="G49" s="127"/>
      <c r="H49" s="4"/>
      <c r="I49" s="4"/>
      <c r="J49" s="30"/>
      <c r="K49" s="108"/>
      <c r="L49" s="108"/>
      <c r="M49" s="108"/>
      <c r="N49" s="108"/>
      <c r="O49" s="108"/>
      <c r="P49" s="108"/>
      <c r="Q49" s="108"/>
      <c r="R49" s="108"/>
      <c r="S49" s="108"/>
      <c r="T49" s="108"/>
      <c r="U49" s="108"/>
    </row>
    <row r="50" spans="1:21">
      <c r="A50" s="108"/>
      <c r="B50" s="35"/>
      <c r="C50" s="35"/>
      <c r="D50" s="108"/>
      <c r="E50" s="35"/>
      <c r="F50" s="33"/>
      <c r="G50" s="108"/>
      <c r="H50" s="108"/>
      <c r="I50" s="108"/>
      <c r="J50" s="108"/>
      <c r="K50" s="108"/>
      <c r="L50" s="108"/>
      <c r="M50" s="108"/>
      <c r="N50" s="108"/>
      <c r="O50" s="108"/>
      <c r="P50" s="108"/>
      <c r="Q50" s="108"/>
      <c r="R50" s="108"/>
      <c r="S50" s="108"/>
      <c r="T50" s="108"/>
      <c r="U50" s="108"/>
    </row>
    <row r="51" spans="1:21" ht="13.5" customHeight="1">
      <c r="A51" s="165" t="s">
        <v>196</v>
      </c>
      <c r="B51" s="31">
        <f>+B49+B36+B27</f>
        <v>-46320</v>
      </c>
      <c r="C51" s="31">
        <f>C27+C36+C49</f>
        <v>-6470</v>
      </c>
      <c r="D51" s="108"/>
      <c r="E51" s="31">
        <f>+E49+E36+E27</f>
        <v>165126</v>
      </c>
      <c r="F51" s="9">
        <f>+F49+F36+F27</f>
        <v>-211446</v>
      </c>
      <c r="G51" s="108"/>
      <c r="H51" s="108"/>
      <c r="I51" s="4"/>
      <c r="J51" s="30"/>
      <c r="K51" s="108"/>
      <c r="L51" s="108"/>
      <c r="M51" s="108"/>
      <c r="N51" s="108"/>
      <c r="O51" s="108"/>
      <c r="P51" s="108"/>
      <c r="Q51" s="108"/>
      <c r="R51" s="108"/>
      <c r="S51" s="108"/>
      <c r="T51" s="108"/>
      <c r="U51" s="108"/>
    </row>
    <row r="52" spans="1:21" ht="13.5" customHeight="1">
      <c r="A52" s="109" t="s">
        <v>120</v>
      </c>
      <c r="B52" s="25">
        <f>236059+1100</f>
        <v>237159</v>
      </c>
      <c r="C52" s="25">
        <v>326295</v>
      </c>
      <c r="D52" s="108"/>
      <c r="E52" s="25">
        <v>326295</v>
      </c>
      <c r="F52" s="24">
        <f>E54</f>
        <v>491421</v>
      </c>
      <c r="G52" s="108"/>
      <c r="H52" s="108"/>
      <c r="I52" s="108"/>
      <c r="J52" s="108"/>
      <c r="K52" s="108"/>
      <c r="L52" s="108"/>
      <c r="M52" s="108"/>
      <c r="N52" s="108"/>
      <c r="O52" s="108"/>
      <c r="P52" s="108"/>
      <c r="Q52" s="108"/>
      <c r="R52" s="108"/>
      <c r="S52" s="108"/>
      <c r="T52" s="108"/>
      <c r="U52" s="108"/>
    </row>
    <row r="53" spans="1:21" ht="13.5" customHeight="1">
      <c r="A53" s="108"/>
      <c r="B53" s="33"/>
      <c r="C53" s="33"/>
      <c r="D53" s="108"/>
      <c r="E53" s="33"/>
      <c r="F53" s="33"/>
      <c r="G53" s="108"/>
      <c r="H53" s="108"/>
      <c r="I53" s="108"/>
      <c r="J53" s="108"/>
      <c r="K53" s="108"/>
      <c r="L53" s="108"/>
      <c r="M53" s="108"/>
      <c r="N53" s="108"/>
      <c r="O53" s="108"/>
      <c r="P53" s="108"/>
      <c r="Q53" s="108"/>
      <c r="R53" s="108"/>
      <c r="S53" s="108"/>
      <c r="T53" s="108"/>
      <c r="U53" s="108"/>
    </row>
    <row r="54" spans="1:21" ht="13.5" customHeight="1" thickBot="1">
      <c r="A54" s="109" t="s">
        <v>121</v>
      </c>
      <c r="B54" s="20">
        <f>+B51+B52</f>
        <v>190839</v>
      </c>
      <c r="C54" s="20">
        <f>SUM(C51:C52)</f>
        <v>319825</v>
      </c>
      <c r="D54" s="108"/>
      <c r="E54" s="20">
        <f>+E51+E52</f>
        <v>491421</v>
      </c>
      <c r="F54" s="20">
        <f>+F51+F52</f>
        <v>279975</v>
      </c>
      <c r="G54" s="108"/>
      <c r="H54" s="108"/>
      <c r="I54" s="4"/>
      <c r="J54" s="30"/>
      <c r="K54" s="108"/>
      <c r="L54" s="108"/>
      <c r="M54" s="108"/>
      <c r="N54" s="108"/>
      <c r="O54" s="108"/>
      <c r="P54" s="108"/>
      <c r="Q54" s="108"/>
      <c r="R54" s="108"/>
      <c r="S54" s="108"/>
      <c r="T54" s="108"/>
      <c r="U54" s="108"/>
    </row>
    <row r="55" spans="1:21" ht="18.75" customHeight="1" thickTop="1">
      <c r="A55" s="108"/>
      <c r="B55" s="92"/>
      <c r="C55" s="33"/>
      <c r="D55" s="108"/>
      <c r="E55" s="92"/>
      <c r="F55" s="92"/>
      <c r="G55" s="108"/>
      <c r="H55" s="108"/>
      <c r="I55" s="108"/>
      <c r="J55" s="108"/>
      <c r="K55" s="108"/>
      <c r="L55" s="108"/>
      <c r="M55" s="108"/>
      <c r="N55" s="108"/>
      <c r="O55" s="108"/>
      <c r="P55" s="108"/>
      <c r="Q55" s="108"/>
      <c r="R55" s="108"/>
      <c r="S55" s="108"/>
      <c r="T55" s="108"/>
      <c r="U55" s="108"/>
    </row>
    <row r="56" spans="1:21" ht="18.75" customHeight="1">
      <c r="A56" s="64" t="s">
        <v>90</v>
      </c>
      <c r="B56" s="23"/>
      <c r="C56" s="31"/>
      <c r="D56" s="108"/>
      <c r="E56" s="23"/>
      <c r="F56" s="23"/>
      <c r="G56" s="108"/>
      <c r="H56" s="108"/>
      <c r="I56" s="108"/>
      <c r="J56" s="108"/>
      <c r="K56" s="108"/>
      <c r="L56" s="108"/>
      <c r="M56" s="108"/>
      <c r="N56" s="108"/>
      <c r="O56" s="108"/>
      <c r="P56" s="108"/>
      <c r="Q56" s="108"/>
      <c r="R56" s="108"/>
      <c r="S56" s="108"/>
      <c r="T56" s="108"/>
      <c r="U56" s="108"/>
    </row>
    <row r="57" spans="1:21" ht="18.75" customHeight="1">
      <c r="A57" s="1" t="s">
        <v>13</v>
      </c>
      <c r="B57" s="36">
        <f>'Balance Sheet'!B11</f>
        <v>189739</v>
      </c>
      <c r="C57" s="36">
        <v>318725</v>
      </c>
      <c r="D57" s="108"/>
      <c r="E57" s="36">
        <f>'Balance Sheet'!E11</f>
        <v>0</v>
      </c>
      <c r="F57" s="36">
        <f>B57</f>
        <v>189739</v>
      </c>
      <c r="G57" s="108"/>
      <c r="H57" s="108"/>
      <c r="I57" s="108"/>
      <c r="J57" s="108"/>
      <c r="K57" s="108"/>
      <c r="L57" s="108"/>
      <c r="M57" s="108"/>
      <c r="N57" s="108"/>
      <c r="O57" s="108"/>
      <c r="P57" s="108"/>
      <c r="Q57" s="108"/>
      <c r="R57" s="108"/>
      <c r="S57" s="108"/>
      <c r="T57" s="108"/>
      <c r="U57" s="108"/>
    </row>
    <row r="58" spans="1:21" ht="17.45" customHeight="1">
      <c r="A58" s="1" t="s">
        <v>88</v>
      </c>
      <c r="B58" s="25">
        <f>+'Balance Sheet'!B13</f>
        <v>1100</v>
      </c>
      <c r="C58" s="65">
        <f>'Balance Sheet'!C13</f>
        <v>1100</v>
      </c>
      <c r="D58" s="108"/>
      <c r="E58" s="25">
        <f>+'Balance Sheet'!E13</f>
        <v>0</v>
      </c>
      <c r="F58" s="25">
        <f>+B58</f>
        <v>1100</v>
      </c>
      <c r="G58" s="108"/>
      <c r="H58" s="108"/>
      <c r="I58" s="108"/>
      <c r="J58" s="108"/>
      <c r="K58" s="108"/>
      <c r="L58" s="108"/>
      <c r="M58" s="108"/>
      <c r="N58" s="108"/>
      <c r="O58" s="108"/>
      <c r="P58" s="108"/>
      <c r="Q58" s="108"/>
      <c r="R58" s="108"/>
      <c r="S58" s="108"/>
      <c r="T58" s="108"/>
      <c r="U58" s="108"/>
    </row>
    <row r="59" spans="1:21" ht="13.5" customHeight="1">
      <c r="A59" s="108"/>
      <c r="B59" s="29"/>
      <c r="C59" s="59"/>
      <c r="D59" s="108"/>
      <c r="E59" s="29"/>
      <c r="F59" s="29"/>
      <c r="G59" s="108"/>
      <c r="H59" s="108"/>
      <c r="I59" s="108"/>
      <c r="J59" s="108"/>
      <c r="K59" s="108"/>
      <c r="L59" s="108"/>
      <c r="M59" s="108"/>
      <c r="N59" s="108"/>
      <c r="O59" s="108"/>
      <c r="P59" s="108"/>
      <c r="Q59" s="108"/>
      <c r="R59" s="108"/>
      <c r="S59" s="108"/>
      <c r="T59" s="108"/>
      <c r="U59" s="108"/>
    </row>
    <row r="60" spans="1:21" ht="18.75" customHeight="1" thickBot="1">
      <c r="A60" s="108"/>
      <c r="B60" s="86">
        <f>SUM(B57:B59)</f>
        <v>190839</v>
      </c>
      <c r="C60" s="66">
        <f>SUM(C57:C59)</f>
        <v>319825</v>
      </c>
      <c r="D60" s="108"/>
      <c r="E60" s="86">
        <f>SUM(E57:E59)</f>
        <v>0</v>
      </c>
      <c r="F60" s="86">
        <f>SUM(F57:F59)</f>
        <v>190839</v>
      </c>
      <c r="G60" s="108"/>
      <c r="H60" s="108"/>
      <c r="I60" s="108"/>
      <c r="J60" s="108"/>
      <c r="K60" s="108"/>
      <c r="L60" s="108"/>
      <c r="M60" s="108"/>
      <c r="N60" s="108"/>
      <c r="O60" s="108"/>
      <c r="P60" s="108"/>
      <c r="Q60" s="108"/>
      <c r="R60" s="108"/>
      <c r="S60" s="108"/>
      <c r="T60" s="108"/>
      <c r="U60" s="108"/>
    </row>
    <row r="61" spans="1:21" ht="18.75" customHeight="1" thickTop="1">
      <c r="A61" s="108"/>
      <c r="B61" s="92"/>
      <c r="C61" s="33"/>
      <c r="D61" s="108"/>
      <c r="E61" s="108"/>
      <c r="F61" s="108"/>
      <c r="G61" s="108"/>
      <c r="H61" s="108"/>
      <c r="I61" s="108"/>
      <c r="J61" s="108"/>
      <c r="K61" s="108"/>
      <c r="L61" s="108"/>
      <c r="M61" s="108"/>
      <c r="N61" s="108"/>
      <c r="O61" s="108"/>
      <c r="P61" s="108"/>
      <c r="Q61" s="108"/>
      <c r="R61" s="108"/>
      <c r="S61" s="108"/>
      <c r="T61" s="108"/>
      <c r="U61" s="108"/>
    </row>
    <row r="62" spans="1:21" ht="18.75" customHeight="1">
      <c r="A62" s="108"/>
      <c r="B62" s="29"/>
      <c r="C62" s="130"/>
      <c r="D62" s="108"/>
      <c r="E62" s="108"/>
      <c r="F62" s="117"/>
      <c r="G62" s="108"/>
      <c r="H62" s="108"/>
      <c r="I62" s="108"/>
      <c r="J62" s="108"/>
      <c r="K62" s="108"/>
      <c r="L62" s="108"/>
      <c r="M62" s="108"/>
      <c r="N62" s="108"/>
      <c r="O62" s="108"/>
      <c r="P62" s="108"/>
      <c r="Q62" s="108"/>
      <c r="R62" s="108"/>
      <c r="S62" s="108"/>
      <c r="T62" s="108"/>
      <c r="U62" s="108"/>
    </row>
    <row r="63" spans="1:21" ht="18.75" customHeight="1">
      <c r="A63" s="108"/>
      <c r="B63" s="92"/>
      <c r="C63" s="33"/>
      <c r="D63" s="108"/>
      <c r="E63" s="108"/>
      <c r="F63" s="108"/>
      <c r="G63" s="108"/>
      <c r="H63" s="108"/>
      <c r="I63" s="108"/>
      <c r="J63" s="108"/>
      <c r="K63" s="108"/>
      <c r="L63" s="108"/>
      <c r="M63" s="108"/>
      <c r="N63" s="108"/>
      <c r="O63" s="108"/>
      <c r="P63" s="108"/>
      <c r="Q63" s="108"/>
      <c r="R63" s="108"/>
      <c r="S63" s="108"/>
      <c r="T63" s="108"/>
      <c r="U63" s="108"/>
    </row>
    <row r="64" spans="1:21" ht="18.75" customHeight="1">
      <c r="A64" s="108"/>
      <c r="B64" s="92"/>
      <c r="C64" s="33"/>
      <c r="D64" s="108"/>
      <c r="E64" s="108"/>
      <c r="F64" s="108"/>
      <c r="G64" s="108"/>
      <c r="H64" s="108"/>
      <c r="I64" s="108"/>
      <c r="J64" s="108"/>
      <c r="K64" s="108"/>
      <c r="L64" s="108"/>
      <c r="M64" s="108"/>
      <c r="N64" s="108"/>
      <c r="O64" s="108"/>
      <c r="P64" s="108"/>
      <c r="Q64" s="108"/>
      <c r="R64" s="108"/>
      <c r="S64" s="108"/>
      <c r="T64" s="108"/>
      <c r="U64" s="108"/>
    </row>
    <row r="65" spans="1:21" ht="18.75" customHeight="1">
      <c r="A65" s="108"/>
      <c r="B65" s="90"/>
      <c r="C65" s="33"/>
      <c r="D65" s="108"/>
      <c r="E65" s="108"/>
      <c r="F65" s="108"/>
      <c r="G65" s="108"/>
      <c r="H65" s="108"/>
      <c r="I65" s="108"/>
      <c r="J65" s="108"/>
      <c r="K65" s="108"/>
      <c r="L65" s="108"/>
      <c r="M65" s="108"/>
      <c r="N65" s="108"/>
      <c r="O65" s="108"/>
      <c r="P65" s="108"/>
      <c r="Q65" s="108"/>
      <c r="R65" s="108"/>
      <c r="S65" s="108"/>
      <c r="T65" s="108"/>
      <c r="U65" s="108"/>
    </row>
    <row r="66" spans="1:21" ht="18.75" customHeight="1">
      <c r="A66" s="108"/>
      <c r="B66" s="92"/>
      <c r="C66" s="33"/>
      <c r="D66" s="108"/>
      <c r="E66" s="108"/>
      <c r="F66" s="108"/>
      <c r="G66" s="108"/>
      <c r="H66" s="108"/>
      <c r="I66" s="108"/>
      <c r="J66" s="108"/>
      <c r="K66" s="108"/>
      <c r="L66" s="108"/>
      <c r="M66" s="108"/>
      <c r="N66" s="108"/>
      <c r="O66" s="108"/>
      <c r="P66" s="108"/>
      <c r="Q66" s="108"/>
      <c r="R66" s="108"/>
      <c r="S66" s="108"/>
      <c r="T66" s="108"/>
      <c r="U66" s="108"/>
    </row>
    <row r="67" spans="1:21" ht="18.75" customHeight="1">
      <c r="A67" s="108"/>
      <c r="B67" s="92"/>
      <c r="C67" s="33"/>
      <c r="D67" s="108"/>
      <c r="E67" s="108"/>
      <c r="F67" s="108"/>
      <c r="G67" s="108"/>
      <c r="H67" s="108"/>
      <c r="I67" s="108"/>
      <c r="J67" s="108"/>
      <c r="K67" s="108"/>
      <c r="L67" s="108"/>
      <c r="M67" s="108"/>
      <c r="N67" s="108"/>
      <c r="O67" s="108"/>
      <c r="P67" s="108"/>
      <c r="Q67" s="108"/>
      <c r="R67" s="108"/>
      <c r="S67" s="108"/>
      <c r="T67" s="108"/>
      <c r="U67" s="108"/>
    </row>
    <row r="68" spans="1:21" ht="18.75" customHeight="1">
      <c r="A68" s="108"/>
      <c r="B68" s="92"/>
      <c r="C68" s="33"/>
      <c r="D68" s="108"/>
      <c r="E68" s="108"/>
      <c r="F68" s="108"/>
      <c r="G68" s="108"/>
      <c r="H68" s="108"/>
      <c r="I68" s="108"/>
      <c r="J68" s="108"/>
      <c r="K68" s="108"/>
      <c r="L68" s="108"/>
      <c r="M68" s="108"/>
      <c r="N68" s="108"/>
      <c r="O68" s="108"/>
      <c r="P68" s="108"/>
      <c r="Q68" s="108"/>
      <c r="R68" s="108"/>
      <c r="S68" s="108"/>
      <c r="T68" s="108"/>
      <c r="U68" s="108"/>
    </row>
    <row r="69" spans="1:21" ht="18.75" customHeight="1">
      <c r="A69" s="108"/>
      <c r="B69" s="92"/>
      <c r="C69" s="33"/>
      <c r="D69" s="108"/>
      <c r="E69" s="108"/>
      <c r="F69" s="108"/>
      <c r="G69" s="108"/>
      <c r="H69" s="108"/>
      <c r="I69" s="108"/>
      <c r="J69" s="108"/>
      <c r="K69" s="108"/>
      <c r="L69" s="108"/>
      <c r="M69" s="108"/>
      <c r="N69" s="108"/>
      <c r="O69" s="108"/>
      <c r="P69" s="108"/>
      <c r="Q69" s="108"/>
      <c r="R69" s="108"/>
      <c r="S69" s="108"/>
      <c r="T69" s="108"/>
      <c r="U69" s="108"/>
    </row>
    <row r="70" spans="1:21" ht="18.75" customHeight="1">
      <c r="A70" s="108"/>
      <c r="B70" s="92"/>
      <c r="C70" s="33"/>
      <c r="D70" s="108"/>
      <c r="E70" s="108"/>
      <c r="F70" s="108"/>
      <c r="G70" s="108"/>
      <c r="H70" s="108"/>
      <c r="I70" s="108"/>
      <c r="J70" s="108"/>
      <c r="K70" s="108"/>
      <c r="L70" s="108"/>
      <c r="M70" s="108"/>
      <c r="N70" s="108"/>
      <c r="O70" s="108"/>
      <c r="P70" s="108"/>
      <c r="Q70" s="108"/>
      <c r="R70" s="108"/>
      <c r="S70" s="108"/>
      <c r="T70" s="108"/>
      <c r="U70" s="108"/>
    </row>
    <row r="71" spans="1:21" ht="18.75" customHeight="1">
      <c r="A71" s="108"/>
      <c r="B71" s="92"/>
      <c r="C71" s="33"/>
      <c r="D71" s="108"/>
      <c r="E71" s="108"/>
      <c r="F71" s="108"/>
      <c r="G71" s="108"/>
      <c r="H71" s="108"/>
      <c r="I71" s="108"/>
      <c r="J71" s="108"/>
      <c r="K71" s="108"/>
      <c r="L71" s="108"/>
      <c r="M71" s="108"/>
      <c r="N71" s="108"/>
      <c r="O71" s="108"/>
      <c r="P71" s="108"/>
      <c r="Q71" s="108"/>
      <c r="R71" s="108"/>
      <c r="S71" s="108"/>
      <c r="T71" s="108"/>
      <c r="U71" s="108"/>
    </row>
    <row r="72" spans="1:21" ht="18.75" customHeight="1">
      <c r="A72" s="108"/>
      <c r="B72" s="92"/>
      <c r="C72" s="33"/>
      <c r="D72" s="108"/>
      <c r="E72" s="108"/>
      <c r="F72" s="108"/>
      <c r="G72" s="108"/>
      <c r="H72" s="108"/>
      <c r="I72" s="108"/>
      <c r="J72" s="108"/>
      <c r="K72" s="108"/>
      <c r="L72" s="108"/>
      <c r="M72" s="108"/>
      <c r="N72" s="108"/>
      <c r="O72" s="108"/>
      <c r="P72" s="108"/>
      <c r="Q72" s="108"/>
      <c r="R72" s="108"/>
      <c r="S72" s="108"/>
      <c r="T72" s="108"/>
      <c r="U72" s="108"/>
    </row>
    <row r="73" spans="1:21" ht="18.75" customHeight="1">
      <c r="A73" s="108"/>
      <c r="B73" s="108"/>
      <c r="C73" s="7"/>
      <c r="D73" s="108"/>
      <c r="E73" s="108"/>
      <c r="F73" s="108"/>
      <c r="G73" s="108"/>
      <c r="H73" s="108"/>
      <c r="I73" s="108"/>
      <c r="J73" s="108"/>
      <c r="K73" s="108"/>
      <c r="L73" s="108"/>
      <c r="M73" s="108"/>
      <c r="N73" s="108"/>
      <c r="O73" s="108"/>
      <c r="P73" s="108"/>
      <c r="Q73" s="108"/>
      <c r="R73" s="108"/>
      <c r="S73" s="108"/>
      <c r="T73" s="108"/>
      <c r="U73" s="108"/>
    </row>
    <row r="74" spans="1:21" ht="18.75" customHeight="1">
      <c r="A74" s="108"/>
      <c r="B74" s="108"/>
      <c r="C74" s="7"/>
      <c r="D74" s="108"/>
      <c r="E74" s="108"/>
      <c r="F74" s="108"/>
      <c r="G74" s="108"/>
      <c r="H74" s="108"/>
      <c r="I74" s="108"/>
      <c r="J74" s="108"/>
      <c r="K74" s="108"/>
      <c r="L74" s="108"/>
      <c r="M74" s="108"/>
      <c r="N74" s="108"/>
      <c r="O74" s="108"/>
      <c r="P74" s="108"/>
      <c r="Q74" s="108"/>
      <c r="R74" s="108"/>
      <c r="S74" s="108"/>
      <c r="T74" s="108"/>
      <c r="U74" s="108"/>
    </row>
    <row r="75" spans="1:21" ht="18.75" customHeight="1">
      <c r="A75" s="108"/>
      <c r="B75" s="108"/>
      <c r="C75" s="7"/>
      <c r="D75" s="108"/>
      <c r="E75" s="108"/>
      <c r="F75" s="108"/>
      <c r="G75" s="108"/>
      <c r="H75" s="108"/>
      <c r="I75" s="108"/>
      <c r="J75" s="108"/>
      <c r="K75" s="108"/>
      <c r="L75" s="108"/>
      <c r="M75" s="108"/>
      <c r="N75" s="108"/>
      <c r="O75" s="108"/>
      <c r="P75" s="108"/>
      <c r="Q75" s="108"/>
      <c r="R75" s="108"/>
      <c r="S75" s="108"/>
      <c r="T75" s="108"/>
      <c r="U75" s="108"/>
    </row>
    <row r="76" spans="1:21" ht="18.75" customHeight="1">
      <c r="A76" s="108"/>
      <c r="B76" s="108"/>
      <c r="C76" s="7"/>
      <c r="D76" s="108"/>
      <c r="E76" s="108"/>
      <c r="F76" s="108"/>
      <c r="G76" s="108"/>
      <c r="H76" s="108"/>
      <c r="I76" s="108"/>
      <c r="J76" s="108"/>
      <c r="K76" s="108"/>
      <c r="L76" s="108"/>
      <c r="M76" s="108"/>
      <c r="N76" s="108"/>
      <c r="O76" s="108"/>
      <c r="P76" s="108"/>
      <c r="Q76" s="108"/>
      <c r="R76" s="108"/>
      <c r="S76" s="108"/>
      <c r="T76" s="108"/>
      <c r="U76" s="108"/>
    </row>
    <row r="77" spans="1:21" ht="18.75" customHeight="1">
      <c r="A77" s="108"/>
      <c r="B77" s="108"/>
      <c r="C77" s="7"/>
      <c r="D77" s="108"/>
      <c r="E77" s="108"/>
      <c r="F77" s="108"/>
      <c r="G77" s="108"/>
      <c r="H77" s="108"/>
      <c r="I77" s="108"/>
      <c r="J77" s="108"/>
      <c r="K77" s="108"/>
      <c r="L77" s="108"/>
      <c r="M77" s="108"/>
      <c r="N77" s="108"/>
      <c r="O77" s="108"/>
      <c r="P77" s="108"/>
      <c r="Q77" s="108"/>
      <c r="R77" s="108"/>
      <c r="S77" s="108"/>
      <c r="T77" s="108"/>
      <c r="U77" s="108"/>
    </row>
    <row r="78" spans="1:21" ht="18.75" customHeight="1">
      <c r="A78" s="108"/>
      <c r="B78" s="108"/>
      <c r="C78" s="7"/>
      <c r="D78" s="108"/>
      <c r="E78" s="108"/>
      <c r="F78" s="108"/>
      <c r="G78" s="108"/>
      <c r="H78" s="108"/>
      <c r="I78" s="108"/>
      <c r="J78" s="108"/>
      <c r="K78" s="108"/>
      <c r="L78" s="108"/>
      <c r="M78" s="108"/>
      <c r="N78" s="108"/>
      <c r="O78" s="108"/>
      <c r="P78" s="108"/>
      <c r="Q78" s="108"/>
      <c r="R78" s="108"/>
      <c r="S78" s="108"/>
      <c r="T78" s="108"/>
      <c r="U78" s="108"/>
    </row>
    <row r="79" spans="1:21" ht="18.75" customHeight="1">
      <c r="A79" s="108"/>
      <c r="B79" s="108"/>
      <c r="C79" s="7"/>
      <c r="D79" s="108"/>
      <c r="E79" s="108"/>
      <c r="F79" s="108"/>
      <c r="G79" s="108"/>
      <c r="H79" s="108"/>
      <c r="I79" s="108"/>
      <c r="J79" s="108"/>
      <c r="K79" s="108"/>
      <c r="L79" s="108"/>
      <c r="M79" s="108"/>
      <c r="N79" s="108"/>
      <c r="O79" s="108"/>
      <c r="P79" s="108"/>
      <c r="Q79" s="108"/>
      <c r="R79" s="108"/>
      <c r="S79" s="108"/>
      <c r="T79" s="108"/>
      <c r="U79" s="108"/>
    </row>
    <row r="80" spans="1:21" ht="18.75" customHeight="1">
      <c r="A80" s="108"/>
      <c r="B80" s="108"/>
      <c r="C80" s="7"/>
      <c r="D80" s="108"/>
      <c r="E80" s="108"/>
      <c r="F80" s="108"/>
      <c r="G80" s="108"/>
      <c r="H80" s="108"/>
      <c r="I80" s="108"/>
      <c r="J80" s="108"/>
      <c r="K80" s="108"/>
      <c r="L80" s="108"/>
      <c r="M80" s="108"/>
      <c r="N80" s="108"/>
      <c r="O80" s="108"/>
      <c r="P80" s="108"/>
      <c r="Q80" s="108"/>
      <c r="R80" s="108"/>
      <c r="S80" s="108"/>
      <c r="T80" s="108"/>
      <c r="U80" s="108"/>
    </row>
    <row r="81" spans="1:21" ht="18.75" customHeight="1">
      <c r="A81" s="108"/>
      <c r="B81" s="108"/>
      <c r="C81" s="7"/>
      <c r="D81" s="108"/>
      <c r="E81" s="108"/>
      <c r="F81" s="108"/>
      <c r="G81" s="108"/>
      <c r="H81" s="108"/>
      <c r="I81" s="108"/>
      <c r="J81" s="108"/>
      <c r="K81" s="108"/>
      <c r="L81" s="108"/>
      <c r="M81" s="108"/>
      <c r="N81" s="108"/>
      <c r="O81" s="108"/>
      <c r="P81" s="108"/>
      <c r="Q81" s="108"/>
      <c r="R81" s="108"/>
      <c r="S81" s="108"/>
      <c r="T81" s="108"/>
      <c r="U81" s="108"/>
    </row>
    <row r="82" spans="1:21" ht="18.75" customHeight="1">
      <c r="A82" s="108"/>
      <c r="B82" s="108"/>
      <c r="C82" s="7"/>
      <c r="D82" s="108"/>
      <c r="E82" s="108"/>
      <c r="F82" s="108"/>
      <c r="G82" s="108"/>
      <c r="H82" s="108"/>
      <c r="I82" s="108"/>
      <c r="J82" s="108"/>
      <c r="K82" s="108"/>
      <c r="L82" s="108"/>
      <c r="M82" s="108"/>
      <c r="N82" s="108"/>
      <c r="O82" s="108"/>
      <c r="P82" s="108"/>
      <c r="Q82" s="108"/>
      <c r="R82" s="108"/>
      <c r="S82" s="108"/>
      <c r="T82" s="108"/>
      <c r="U82" s="108"/>
    </row>
    <row r="83" spans="1:21" ht="18.75" customHeight="1">
      <c r="A83" s="108"/>
      <c r="B83" s="108"/>
      <c r="C83" s="7"/>
      <c r="D83" s="108"/>
      <c r="E83" s="108"/>
      <c r="F83" s="108"/>
      <c r="G83" s="108"/>
      <c r="H83" s="108"/>
      <c r="I83" s="108"/>
      <c r="J83" s="108"/>
      <c r="K83" s="108"/>
      <c r="L83" s="108"/>
      <c r="M83" s="108"/>
      <c r="N83" s="108"/>
      <c r="O83" s="108"/>
      <c r="P83" s="108"/>
      <c r="Q83" s="108"/>
      <c r="R83" s="108"/>
      <c r="S83" s="108"/>
      <c r="T83" s="108"/>
      <c r="U83" s="108"/>
    </row>
    <row r="84" spans="1:21" ht="18.75" customHeight="1">
      <c r="A84" s="108"/>
      <c r="B84" s="108"/>
      <c r="C84" s="7"/>
      <c r="D84" s="108"/>
      <c r="E84" s="108"/>
      <c r="F84" s="108"/>
      <c r="G84" s="108"/>
      <c r="H84" s="108"/>
      <c r="I84" s="108"/>
      <c r="J84" s="108"/>
      <c r="K84" s="108"/>
      <c r="L84" s="108"/>
      <c r="M84" s="108"/>
      <c r="N84" s="108"/>
      <c r="O84" s="108"/>
      <c r="P84" s="108"/>
      <c r="Q84" s="108"/>
      <c r="R84" s="108"/>
      <c r="S84" s="108"/>
      <c r="T84" s="108"/>
      <c r="U84" s="108"/>
    </row>
    <row r="85" spans="1:21" ht="18.75" customHeight="1">
      <c r="A85" s="108"/>
      <c r="B85" s="108"/>
      <c r="C85" s="7"/>
      <c r="D85" s="108"/>
      <c r="E85" s="108"/>
      <c r="F85" s="108"/>
      <c r="G85" s="108"/>
      <c r="H85" s="108"/>
      <c r="I85" s="108"/>
      <c r="J85" s="108"/>
      <c r="K85" s="108"/>
      <c r="L85" s="108"/>
      <c r="M85" s="108"/>
      <c r="N85" s="108"/>
      <c r="O85" s="108"/>
      <c r="P85" s="108"/>
      <c r="Q85" s="108"/>
      <c r="R85" s="108"/>
      <c r="S85" s="108"/>
      <c r="T85" s="108"/>
      <c r="U85" s="108"/>
    </row>
    <row r="86" spans="1:21" ht="18.75" customHeight="1">
      <c r="A86" s="108"/>
      <c r="B86" s="108"/>
      <c r="C86" s="7"/>
      <c r="D86" s="108"/>
      <c r="E86" s="108"/>
      <c r="F86" s="108"/>
      <c r="G86" s="108"/>
      <c r="H86" s="108"/>
      <c r="I86" s="108"/>
      <c r="J86" s="108"/>
      <c r="K86" s="108"/>
      <c r="L86" s="108"/>
      <c r="M86" s="108"/>
      <c r="N86" s="108"/>
      <c r="O86" s="108"/>
      <c r="P86" s="108"/>
      <c r="Q86" s="108"/>
      <c r="R86" s="108"/>
      <c r="S86" s="108"/>
      <c r="T86" s="108"/>
      <c r="U86" s="108"/>
    </row>
    <row r="87" spans="1:21" ht="18.75" customHeight="1">
      <c r="A87" s="108"/>
      <c r="B87" s="108"/>
      <c r="C87" s="7"/>
      <c r="D87" s="108"/>
      <c r="E87" s="108"/>
      <c r="F87" s="108"/>
      <c r="G87" s="108"/>
      <c r="H87" s="108"/>
      <c r="I87" s="108"/>
      <c r="J87" s="108"/>
      <c r="K87" s="108"/>
      <c r="L87" s="108"/>
      <c r="M87" s="108"/>
      <c r="N87" s="108"/>
      <c r="O87" s="108"/>
      <c r="P87" s="108"/>
      <c r="Q87" s="108"/>
      <c r="R87" s="108"/>
      <c r="S87" s="108"/>
      <c r="T87" s="108"/>
      <c r="U87" s="108"/>
    </row>
    <row r="88" spans="1:21" ht="18.75" customHeight="1">
      <c r="A88" s="108"/>
      <c r="B88" s="108"/>
      <c r="C88" s="7"/>
      <c r="D88" s="108"/>
      <c r="E88" s="108"/>
      <c r="F88" s="108"/>
      <c r="G88" s="108"/>
      <c r="H88" s="108"/>
      <c r="I88" s="108"/>
      <c r="J88" s="108"/>
      <c r="K88" s="108"/>
      <c r="L88" s="108"/>
      <c r="M88" s="108"/>
      <c r="N88" s="108"/>
      <c r="O88" s="108"/>
      <c r="P88" s="108"/>
      <c r="Q88" s="108"/>
      <c r="R88" s="108"/>
      <c r="S88" s="108"/>
      <c r="T88" s="108"/>
      <c r="U88" s="108"/>
    </row>
    <row r="89" spans="1:21" ht="18.75" customHeight="1">
      <c r="A89" s="108"/>
      <c r="B89" s="108"/>
      <c r="C89" s="7"/>
      <c r="D89" s="108"/>
      <c r="E89" s="108"/>
      <c r="F89" s="108"/>
      <c r="G89" s="108"/>
      <c r="H89" s="108"/>
      <c r="I89" s="108"/>
      <c r="J89" s="108"/>
      <c r="K89" s="108"/>
      <c r="L89" s="108"/>
      <c r="M89" s="108"/>
      <c r="N89" s="108"/>
      <c r="O89" s="108"/>
      <c r="P89" s="108"/>
      <c r="Q89" s="108"/>
      <c r="R89" s="108"/>
      <c r="S89" s="108"/>
      <c r="T89" s="108"/>
      <c r="U89" s="108"/>
    </row>
    <row r="90" spans="1:21" ht="18.75" customHeight="1">
      <c r="A90" s="108"/>
      <c r="B90" s="108"/>
      <c r="C90" s="7"/>
      <c r="D90" s="108"/>
      <c r="E90" s="108"/>
      <c r="F90" s="108"/>
      <c r="G90" s="108"/>
      <c r="H90" s="108"/>
      <c r="I90" s="108"/>
      <c r="J90" s="108"/>
      <c r="K90" s="108"/>
      <c r="L90" s="108"/>
      <c r="M90" s="108"/>
      <c r="N90" s="108"/>
      <c r="O90" s="108"/>
      <c r="P90" s="108"/>
      <c r="Q90" s="108"/>
      <c r="R90" s="108"/>
      <c r="S90" s="108"/>
      <c r="T90" s="108"/>
      <c r="U90" s="108"/>
    </row>
    <row r="91" spans="1:21" ht="18.75" customHeight="1">
      <c r="A91" s="108"/>
      <c r="B91" s="108"/>
      <c r="C91" s="7"/>
      <c r="D91" s="108"/>
      <c r="E91" s="108"/>
      <c r="F91" s="108"/>
      <c r="G91" s="108"/>
      <c r="H91" s="108"/>
      <c r="I91" s="108"/>
      <c r="J91" s="108"/>
      <c r="K91" s="108"/>
      <c r="L91" s="108"/>
      <c r="M91" s="108"/>
      <c r="N91" s="108"/>
      <c r="O91" s="108"/>
      <c r="P91" s="108"/>
      <c r="Q91" s="108"/>
      <c r="R91" s="108"/>
      <c r="S91" s="108"/>
      <c r="T91" s="108"/>
      <c r="U91" s="108"/>
    </row>
    <row r="92" spans="1:21" ht="18.75" customHeight="1">
      <c r="A92" s="108"/>
      <c r="B92" s="108"/>
      <c r="C92" s="7"/>
      <c r="D92" s="108"/>
      <c r="E92" s="108"/>
      <c r="F92" s="108"/>
      <c r="G92" s="108"/>
      <c r="H92" s="108"/>
      <c r="I92" s="108"/>
      <c r="J92" s="108"/>
      <c r="K92" s="108"/>
      <c r="L92" s="108"/>
      <c r="M92" s="108"/>
      <c r="N92" s="108"/>
      <c r="O92" s="108"/>
      <c r="P92" s="108"/>
      <c r="Q92" s="108"/>
      <c r="R92" s="108"/>
      <c r="S92" s="108"/>
      <c r="T92" s="108"/>
      <c r="U92" s="108"/>
    </row>
    <row r="93" spans="1:21" ht="18.75" customHeight="1">
      <c r="A93" s="108"/>
      <c r="B93" s="108"/>
      <c r="C93" s="7"/>
      <c r="D93" s="108"/>
      <c r="E93" s="108"/>
      <c r="F93" s="108"/>
      <c r="G93" s="108"/>
      <c r="H93" s="108"/>
      <c r="I93" s="108"/>
      <c r="J93" s="108"/>
      <c r="K93" s="108"/>
      <c r="L93" s="108"/>
      <c r="M93" s="108"/>
      <c r="N93" s="108"/>
      <c r="O93" s="108"/>
      <c r="P93" s="108"/>
      <c r="Q93" s="108"/>
      <c r="R93" s="108"/>
      <c r="S93" s="108"/>
      <c r="T93" s="108"/>
      <c r="U93" s="108"/>
    </row>
  </sheetData>
  <mergeCells count="5">
    <mergeCell ref="A1:C1"/>
    <mergeCell ref="A2:C2"/>
    <mergeCell ref="A3:C3"/>
    <mergeCell ref="B6:C6"/>
    <mergeCell ref="B8:C8"/>
  </mergeCells>
  <pageMargins left="0.7" right="0.7" top="0.75" bottom="0.75" header="0.3" footer="0.3"/>
  <pageSetup scale="85" orientation="portrait" r:id="rId1"/>
  <ignoredErrors>
    <ignoredError sqref="C51 C5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autoPageBreaks="0" fitToPage="1"/>
  </sheetPr>
  <dimension ref="A1:G97"/>
  <sheetViews>
    <sheetView workbookViewId="0">
      <selection activeCell="F16" sqref="F16"/>
    </sheetView>
  </sheetViews>
  <sheetFormatPr defaultColWidth="21.5" defaultRowHeight="12.75"/>
  <cols>
    <col min="1" max="1" width="62.1640625" style="109" customWidth="1"/>
    <col min="2" max="2" width="2.1640625" style="109" customWidth="1"/>
    <col min="3" max="4" width="15.83203125" style="109" customWidth="1"/>
    <col min="5" max="16384" width="21.5" style="109"/>
  </cols>
  <sheetData>
    <row r="1" spans="1:7" ht="13.5" customHeight="1">
      <c r="A1" s="217" t="s">
        <v>106</v>
      </c>
      <c r="B1" s="222"/>
      <c r="C1" s="222"/>
      <c r="D1" s="222"/>
    </row>
    <row r="2" spans="1:7" ht="13.5" customHeight="1">
      <c r="A2" s="217" t="s">
        <v>53</v>
      </c>
      <c r="B2" s="222"/>
      <c r="C2" s="222"/>
      <c r="D2" s="222"/>
    </row>
    <row r="3" spans="1:7" ht="13.5" customHeight="1">
      <c r="A3" s="217" t="s">
        <v>10</v>
      </c>
      <c r="B3" s="222"/>
      <c r="C3" s="222"/>
      <c r="D3" s="222"/>
    </row>
    <row r="4" spans="1:7" ht="6" customHeight="1"/>
    <row r="5" spans="1:7">
      <c r="A5" s="108"/>
      <c r="B5" s="108"/>
      <c r="C5" s="39" t="s">
        <v>187</v>
      </c>
      <c r="D5" s="102" t="s">
        <v>54</v>
      </c>
    </row>
    <row r="6" spans="1:7" ht="12.75" customHeight="1">
      <c r="A6" s="108"/>
      <c r="B6" s="108"/>
      <c r="C6" s="70">
        <v>2023</v>
      </c>
      <c r="D6" s="70">
        <v>2022</v>
      </c>
    </row>
    <row r="7" spans="1:7" ht="12.75" customHeight="1">
      <c r="A7" s="108"/>
      <c r="B7" s="108"/>
      <c r="C7" s="216" t="s">
        <v>1</v>
      </c>
      <c r="D7" s="216"/>
    </row>
    <row r="8" spans="1:7" ht="7.5" customHeight="1">
      <c r="A8" s="108"/>
      <c r="B8" s="108"/>
      <c r="C8" s="33"/>
      <c r="D8" s="92"/>
    </row>
    <row r="9" spans="1:7">
      <c r="A9" s="92" t="s">
        <v>191</v>
      </c>
      <c r="B9" s="108"/>
      <c r="C9" s="37">
        <v>5752</v>
      </c>
      <c r="D9" s="37">
        <v>6502</v>
      </c>
      <c r="F9" s="124"/>
    </row>
    <row r="10" spans="1:7" s="119" customFormat="1">
      <c r="A10" s="92" t="s">
        <v>125</v>
      </c>
      <c r="B10" s="118"/>
      <c r="C10" s="31">
        <v>98075</v>
      </c>
      <c r="D10" s="31">
        <v>98075</v>
      </c>
      <c r="F10" s="94"/>
    </row>
    <row r="11" spans="1:7" s="121" customFormat="1">
      <c r="A11" s="92" t="s">
        <v>197</v>
      </c>
      <c r="B11" s="120"/>
      <c r="C11" s="31">
        <v>0</v>
      </c>
      <c r="D11" s="31">
        <v>13156</v>
      </c>
      <c r="F11" s="94"/>
    </row>
    <row r="12" spans="1:7" ht="13.5" customHeight="1">
      <c r="A12" s="109" t="s">
        <v>40</v>
      </c>
      <c r="B12" s="108"/>
      <c r="C12" s="31">
        <v>46825</v>
      </c>
      <c r="D12" s="31">
        <v>59472</v>
      </c>
      <c r="G12" s="98"/>
    </row>
    <row r="13" spans="1:7" ht="13.5" customHeight="1">
      <c r="A13" s="109" t="s">
        <v>57</v>
      </c>
      <c r="B13" s="108"/>
      <c r="C13" s="25">
        <v>-2348</v>
      </c>
      <c r="D13" s="25">
        <v>-2929</v>
      </c>
      <c r="G13" s="98"/>
    </row>
    <row r="14" spans="1:7" ht="13.5" customHeight="1">
      <c r="A14" s="108"/>
      <c r="B14" s="108"/>
      <c r="C14" s="23">
        <f>SUM(C9:C13)</f>
        <v>148304</v>
      </c>
      <c r="D14" s="23">
        <f>SUM(D9:D13)</f>
        <v>174276</v>
      </c>
      <c r="E14" s="95"/>
      <c r="G14" s="98"/>
    </row>
    <row r="15" spans="1:7" ht="13.5" customHeight="1">
      <c r="A15" s="172" t="s">
        <v>55</v>
      </c>
      <c r="B15" s="34"/>
      <c r="C15" s="31">
        <v>37405</v>
      </c>
      <c r="D15" s="31">
        <v>57988</v>
      </c>
      <c r="E15" s="95"/>
      <c r="F15" s="95"/>
      <c r="G15" s="98"/>
    </row>
    <row r="16" spans="1:7" ht="13.5" customHeight="1" thickBot="1">
      <c r="A16" s="109" t="s">
        <v>31</v>
      </c>
      <c r="B16" s="108"/>
      <c r="C16" s="114">
        <f>C14-C15</f>
        <v>110899</v>
      </c>
      <c r="D16" s="114">
        <f>D14-D15</f>
        <v>116288</v>
      </c>
      <c r="E16" s="94"/>
      <c r="F16" s="94"/>
      <c r="G16" s="98"/>
    </row>
    <row r="17" spans="1:7" ht="13.5" customHeight="1" thickTop="1">
      <c r="A17" s="108"/>
      <c r="B17" s="108"/>
      <c r="C17" s="131"/>
      <c r="D17" s="92"/>
      <c r="E17" s="95"/>
      <c r="G17" s="98"/>
    </row>
    <row r="18" spans="1:7" ht="13.5" customHeight="1">
      <c r="A18" s="109" t="s">
        <v>163</v>
      </c>
      <c r="C18" s="104"/>
      <c r="D18" s="107"/>
      <c r="F18" s="94"/>
    </row>
    <row r="19" spans="1:7" ht="13.5" customHeight="1">
      <c r="A19" s="109" t="s">
        <v>58</v>
      </c>
      <c r="C19" s="53">
        <f>C14-C13</f>
        <v>150652</v>
      </c>
      <c r="D19" s="105">
        <f>D14-D13</f>
        <v>177205</v>
      </c>
      <c r="G19" s="99"/>
    </row>
    <row r="20" spans="1:7" ht="13.5" customHeight="1">
      <c r="A20" s="109" t="s">
        <v>56</v>
      </c>
      <c r="C20" s="58"/>
      <c r="D20" s="107"/>
      <c r="F20" s="94"/>
    </row>
    <row r="21" spans="1:7" ht="13.5" customHeight="1">
      <c r="A21" s="109" t="s">
        <v>13</v>
      </c>
      <c r="C21" s="31">
        <f>'Balance Sheet'!B11</f>
        <v>189739</v>
      </c>
      <c r="D21" s="23">
        <f>'Balance Sheet'!C11</f>
        <v>236059</v>
      </c>
      <c r="G21" s="99"/>
    </row>
    <row r="22" spans="1:7" ht="13.5" customHeight="1">
      <c r="A22" s="109" t="s">
        <v>14</v>
      </c>
      <c r="C22" s="25">
        <f>'Balance Sheet'!B12</f>
        <v>32116</v>
      </c>
      <c r="D22" s="25">
        <f>'Balance Sheet'!C12</f>
        <v>36993</v>
      </c>
      <c r="F22" s="95"/>
    </row>
    <row r="23" spans="1:7" ht="13.5" customHeight="1">
      <c r="A23" s="108"/>
      <c r="C23" s="31">
        <f>+C21+C22</f>
        <v>221855</v>
      </c>
      <c r="D23" s="23">
        <f>+D21+D22</f>
        <v>273052</v>
      </c>
      <c r="G23" s="99"/>
    </row>
    <row r="24" spans="1:7" ht="13.5" customHeight="1" thickBot="1">
      <c r="A24" s="109" t="s">
        <v>162</v>
      </c>
      <c r="C24" s="114">
        <f>+C19-C23</f>
        <v>-71203</v>
      </c>
      <c r="D24" s="114">
        <f>+D19-D23</f>
        <v>-95847</v>
      </c>
    </row>
    <row r="25" spans="1:7" ht="18.75" customHeight="1" thickTop="1">
      <c r="C25" s="107"/>
      <c r="D25" s="107"/>
    </row>
    <row r="26" spans="1:7" ht="18.75" customHeight="1"/>
    <row r="27" spans="1:7" ht="18.75" customHeight="1"/>
    <row r="28" spans="1:7" ht="18.75" customHeight="1">
      <c r="C28" s="99"/>
    </row>
    <row r="29" spans="1:7" ht="18.75" customHeight="1"/>
    <row r="30" spans="1:7" ht="18.75" customHeight="1"/>
    <row r="31" spans="1:7" ht="18.75" customHeight="1"/>
    <row r="32" spans="1: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sheetData>
  <mergeCells count="3">
    <mergeCell ref="A1:D1"/>
    <mergeCell ref="A2:D2"/>
    <mergeCell ref="A3:D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G32"/>
  <sheetViews>
    <sheetView workbookViewId="0">
      <selection activeCell="D23" sqref="D23"/>
    </sheetView>
  </sheetViews>
  <sheetFormatPr defaultColWidth="9.33203125" defaultRowHeight="12.75"/>
  <cols>
    <col min="1" max="1" width="44.6640625" style="134" customWidth="1"/>
    <col min="2" max="7" width="12.33203125" style="134" customWidth="1"/>
    <col min="8" max="10" width="9.33203125" style="134"/>
    <col min="11" max="11" width="14.1640625" style="134" bestFit="1" customWidth="1"/>
    <col min="12" max="13" width="12.83203125" style="134" bestFit="1" customWidth="1"/>
    <col min="14" max="16384" width="9.33203125" style="134"/>
  </cols>
  <sheetData>
    <row r="1" spans="1:7" ht="15.75">
      <c r="A1" s="224" t="s">
        <v>106</v>
      </c>
      <c r="B1" s="224"/>
      <c r="C1" s="225"/>
      <c r="D1" s="225"/>
      <c r="E1" s="225"/>
      <c r="F1" s="225"/>
      <c r="G1" s="225"/>
    </row>
    <row r="2" spans="1:7" ht="15.75">
      <c r="A2" s="224" t="s">
        <v>62</v>
      </c>
      <c r="B2" s="224"/>
      <c r="C2" s="225"/>
      <c r="D2" s="225"/>
      <c r="E2" s="225"/>
      <c r="F2" s="225"/>
      <c r="G2" s="225"/>
    </row>
    <row r="3" spans="1:7" ht="15.75">
      <c r="A3" s="224" t="s">
        <v>63</v>
      </c>
      <c r="B3" s="224"/>
      <c r="C3" s="225"/>
      <c r="D3" s="225"/>
      <c r="E3" s="225"/>
      <c r="F3" s="225"/>
      <c r="G3" s="225"/>
    </row>
    <row r="4" spans="1:7">
      <c r="A4" s="133"/>
      <c r="B4" s="133"/>
      <c r="C4" s="133"/>
      <c r="D4" s="133"/>
      <c r="E4" s="133"/>
      <c r="F4" s="133"/>
      <c r="G4" s="133"/>
    </row>
    <row r="5" spans="1:7">
      <c r="A5" s="133"/>
      <c r="B5" s="135"/>
      <c r="C5" s="135"/>
      <c r="D5" s="135"/>
      <c r="E5" s="135"/>
      <c r="F5" s="135"/>
      <c r="G5" s="135"/>
    </row>
    <row r="6" spans="1:7" ht="25.5" customHeight="1">
      <c r="A6" s="133"/>
      <c r="B6" s="226" t="s">
        <v>192</v>
      </c>
      <c r="C6" s="226"/>
      <c r="D6" s="226" t="s">
        <v>179</v>
      </c>
      <c r="E6" s="226"/>
      <c r="F6" s="226" t="s">
        <v>188</v>
      </c>
      <c r="G6" s="226"/>
    </row>
    <row r="7" spans="1:7">
      <c r="A7" s="133"/>
      <c r="B7" s="223" t="s">
        <v>1</v>
      </c>
      <c r="C7" s="223"/>
      <c r="D7" s="223" t="s">
        <v>1</v>
      </c>
      <c r="E7" s="223"/>
      <c r="F7" s="223" t="s">
        <v>1</v>
      </c>
      <c r="G7" s="223"/>
    </row>
    <row r="8" spans="1:7">
      <c r="A8" s="46" t="s">
        <v>66</v>
      </c>
      <c r="B8" s="47"/>
      <c r="C8" s="47"/>
      <c r="D8" s="47"/>
      <c r="E8" s="47"/>
      <c r="F8" s="47"/>
      <c r="G8" s="47"/>
    </row>
    <row r="9" spans="1:7">
      <c r="A9" s="48" t="s">
        <v>64</v>
      </c>
      <c r="B9" s="80">
        <f>+'NON-GAAP Sales'!B18/1000</f>
        <v>2.1548000000000003</v>
      </c>
      <c r="C9" s="42"/>
      <c r="D9" s="80">
        <f>'NON-GAAP Sales'!B29/1000</f>
        <v>2.2667009600000001</v>
      </c>
      <c r="E9" s="42"/>
      <c r="F9" s="80">
        <f>'NON-GAAP Sales'!B41/1000</f>
        <v>1.5431764299999999</v>
      </c>
      <c r="G9" s="42"/>
    </row>
    <row r="10" spans="1:7">
      <c r="A10" s="48"/>
      <c r="B10" s="73"/>
      <c r="C10" s="42"/>
      <c r="D10" s="73"/>
      <c r="E10" s="42"/>
      <c r="F10" s="73"/>
      <c r="G10" s="42"/>
    </row>
    <row r="11" spans="1:7">
      <c r="A11" s="48" t="s">
        <v>117</v>
      </c>
      <c r="B11" s="43">
        <f>+'NON-GAAP Sales'!B17/1000</f>
        <v>440.11799999999999</v>
      </c>
      <c r="C11" s="61">
        <f>ROUND(B11/B9,2)</f>
        <v>204.25</v>
      </c>
      <c r="D11" s="43">
        <f>'NON-GAAP Sales'!B28/1000</f>
        <v>407.95699999999999</v>
      </c>
      <c r="E11" s="61">
        <f>ROUND(D11/D9,2)</f>
        <v>179.98</v>
      </c>
      <c r="F11" s="43">
        <f>'NON-GAAP Sales'!B40/1000</f>
        <v>394.30799999999999</v>
      </c>
      <c r="G11" s="61">
        <f>ROUND(F11/F9,2)</f>
        <v>255.52</v>
      </c>
    </row>
    <row r="12" spans="1:7">
      <c r="A12" s="48" t="s">
        <v>115</v>
      </c>
      <c r="B12" s="83">
        <f>+'NON-GAAP COGS'!B17/1000</f>
        <v>178.11699999999999</v>
      </c>
      <c r="C12" s="85">
        <f>ROUND(B12/B9,2)</f>
        <v>82.66</v>
      </c>
      <c r="D12" s="83">
        <f>'NON-GAAP COGS'!B30/1000</f>
        <v>196.81200000000001</v>
      </c>
      <c r="E12" s="85">
        <f>ROUND(D12/D9,2)</f>
        <v>86.83</v>
      </c>
      <c r="F12" s="83">
        <f>'NON-GAAP COGS'!B43/1000</f>
        <v>135.86500000000001</v>
      </c>
      <c r="G12" s="85">
        <f>ROUND(F12/F9,2)</f>
        <v>88.04</v>
      </c>
    </row>
    <row r="13" spans="1:7">
      <c r="A13" s="48" t="s">
        <v>65</v>
      </c>
      <c r="B13" s="44">
        <f>B11-B12+0.01</f>
        <v>262.01099999999997</v>
      </c>
      <c r="C13" s="49">
        <f>C11-C12</f>
        <v>121.59</v>
      </c>
      <c r="D13" s="44">
        <f>D11-D12</f>
        <v>211.14499999999998</v>
      </c>
      <c r="E13" s="49">
        <f>E11-E12</f>
        <v>93.149999999999991</v>
      </c>
      <c r="F13" s="44">
        <f t="shared" ref="F13" si="0">F11-F12</f>
        <v>258.44299999999998</v>
      </c>
      <c r="G13" s="49">
        <f>G11-G12</f>
        <v>167.48000000000002</v>
      </c>
    </row>
    <row r="15" spans="1:7">
      <c r="A15" s="46" t="s">
        <v>126</v>
      </c>
      <c r="B15" s="47"/>
      <c r="C15" s="47"/>
      <c r="D15" s="47"/>
      <c r="E15" s="47"/>
      <c r="F15" s="47"/>
      <c r="G15" s="47"/>
    </row>
    <row r="16" spans="1:7">
      <c r="A16" s="48" t="s">
        <v>64</v>
      </c>
      <c r="B16" s="80">
        <f>'NON-GAAP Sales'!C18/1000</f>
        <v>17.021259999999998</v>
      </c>
      <c r="C16" s="42"/>
      <c r="D16" s="80">
        <f>'NON-GAAP Sales'!C29/1000</f>
        <v>16.09080475</v>
      </c>
      <c r="E16" s="42"/>
      <c r="F16" s="80">
        <f>'NON-GAAP Sales'!C41/1000</f>
        <v>18.194735690000002</v>
      </c>
      <c r="G16" s="42"/>
    </row>
    <row r="17" spans="1:7">
      <c r="A17" s="48"/>
      <c r="B17" s="42"/>
      <c r="C17" s="42"/>
      <c r="D17" s="42"/>
      <c r="E17" s="42"/>
      <c r="F17" s="42"/>
      <c r="G17" s="42"/>
    </row>
    <row r="18" spans="1:7">
      <c r="A18" s="48" t="s">
        <v>117</v>
      </c>
      <c r="B18" s="43">
        <f>'NON-GAAP Sales'!C17/1000</f>
        <v>314.70600000000002</v>
      </c>
      <c r="C18" s="61">
        <f>ROUND(B18/B16,2)</f>
        <v>18.489999999999998</v>
      </c>
      <c r="D18" s="43">
        <f>'NON-GAAP Sales'!C28/1000</f>
        <v>314.97899999999998</v>
      </c>
      <c r="E18" s="61">
        <f>ROUND(D18/D16,2)</f>
        <v>19.579999999999998</v>
      </c>
      <c r="F18" s="43">
        <f>'NON-GAAP Sales'!C40/1000</f>
        <v>342.947</v>
      </c>
      <c r="G18" s="61">
        <f>ROUND(F18/F16,2)</f>
        <v>18.850000000000001</v>
      </c>
    </row>
    <row r="19" spans="1:7">
      <c r="A19" s="48" t="s">
        <v>115</v>
      </c>
      <c r="B19" s="83">
        <f>+'NON-GAAP COGS'!C17/1000</f>
        <v>268.79300000000001</v>
      </c>
      <c r="C19" s="85">
        <f>ROUND(B19/B16,2)</f>
        <v>15.79</v>
      </c>
      <c r="D19" s="83">
        <f>'NON-GAAP COGS'!C30/1000</f>
        <v>253.11799999999999</v>
      </c>
      <c r="E19" s="85">
        <f>ROUND(D19/D16,2)</f>
        <v>15.73</v>
      </c>
      <c r="F19" s="83">
        <f>'NON-GAAP COGS'!C43/1000</f>
        <v>244.31299999999999</v>
      </c>
      <c r="G19" s="85">
        <f>ROUND(F19/F16,2)</f>
        <v>13.43</v>
      </c>
    </row>
    <row r="20" spans="1:7">
      <c r="A20" s="48" t="s">
        <v>119</v>
      </c>
      <c r="B20" s="44">
        <f>B18-B19-0.01</f>
        <v>45.903000000000013</v>
      </c>
      <c r="C20" s="49">
        <f>C18-C19</f>
        <v>2.6999999999999993</v>
      </c>
      <c r="D20" s="44">
        <f>D18-D19</f>
        <v>61.86099999999999</v>
      </c>
      <c r="E20" s="49">
        <f>E18-E19</f>
        <v>3.8499999999999979</v>
      </c>
      <c r="F20" s="44">
        <f>F18-F19</f>
        <v>98.634000000000015</v>
      </c>
      <c r="G20" s="49">
        <f>G18-G19</f>
        <v>5.4200000000000017</v>
      </c>
    </row>
    <row r="21" spans="1:7" ht="12.75" customHeight="1">
      <c r="A21" s="46"/>
      <c r="B21" s="47"/>
      <c r="C21" s="47"/>
      <c r="D21" s="47"/>
      <c r="E21" s="47"/>
      <c r="F21" s="47"/>
      <c r="G21" s="47"/>
    </row>
    <row r="22" spans="1:7" ht="12.75" customHeight="1">
      <c r="A22" s="46" t="s">
        <v>118</v>
      </c>
      <c r="B22" s="43">
        <f>+B20+B13</f>
        <v>307.91399999999999</v>
      </c>
      <c r="C22" s="47"/>
      <c r="D22" s="43">
        <f>D13+D20</f>
        <v>273.00599999999997</v>
      </c>
      <c r="E22" s="47"/>
      <c r="F22" s="43">
        <f>F13+F20</f>
        <v>357.077</v>
      </c>
      <c r="G22" s="47"/>
    </row>
    <row r="23" spans="1:7" ht="12.75" customHeight="1">
      <c r="A23" s="46"/>
      <c r="B23" s="47"/>
      <c r="C23" s="47"/>
      <c r="D23" s="47"/>
      <c r="E23" s="47"/>
      <c r="F23" s="47"/>
      <c r="G23" s="47"/>
    </row>
    <row r="24" spans="1:7" ht="12.75" customHeight="1">
      <c r="A24" s="46" t="s">
        <v>116</v>
      </c>
      <c r="B24" s="44">
        <f>-'Income Statement'!B17/1000</f>
        <v>-26.021999999999998</v>
      </c>
      <c r="C24" s="47"/>
      <c r="D24" s="44">
        <v>-26.1</v>
      </c>
      <c r="E24" s="47"/>
      <c r="F24" s="44">
        <f>-'Income Statement'!C17/1000</f>
        <v>-26.648</v>
      </c>
      <c r="G24" s="47"/>
    </row>
    <row r="25" spans="1:7" ht="12.75" customHeight="1">
      <c r="A25" s="46" t="s">
        <v>40</v>
      </c>
      <c r="B25" s="83">
        <f>-3.7-0.9</f>
        <v>-4.6000000000000005</v>
      </c>
      <c r="C25" s="47"/>
      <c r="D25" s="83">
        <v>9.6</v>
      </c>
      <c r="E25" s="47"/>
      <c r="F25" s="83">
        <v>-9.4</v>
      </c>
      <c r="G25" s="47"/>
    </row>
    <row r="26" spans="1:7" ht="12.75" customHeight="1">
      <c r="A26" s="46"/>
      <c r="B26" s="47"/>
      <c r="C26" s="47"/>
      <c r="D26" s="47"/>
      <c r="E26" s="47"/>
      <c r="F26" s="47"/>
      <c r="G26" s="47"/>
    </row>
    <row r="27" spans="1:7" ht="16.5" customHeight="1" thickBot="1">
      <c r="A27" s="46" t="s">
        <v>91</v>
      </c>
      <c r="B27" s="50">
        <f>SUM(B22:B25)</f>
        <v>277.29199999999997</v>
      </c>
      <c r="C27" s="47"/>
      <c r="D27" s="50">
        <f>+D22+D24+D25</f>
        <v>256.50599999999997</v>
      </c>
      <c r="E27" s="47"/>
      <c r="F27" s="50">
        <f>+F22+F24+F25</f>
        <v>321.029</v>
      </c>
      <c r="G27" s="47"/>
    </row>
    <row r="28" spans="1:7" ht="12.75" customHeight="1" thickTop="1">
      <c r="A28" s="46"/>
      <c r="B28" s="101"/>
      <c r="C28" s="47"/>
      <c r="D28" s="47"/>
      <c r="E28" s="47"/>
      <c r="F28" s="47"/>
      <c r="G28" s="47"/>
    </row>
    <row r="29" spans="1:7" ht="12.75" customHeight="1">
      <c r="A29" s="51"/>
      <c r="B29" s="47"/>
      <c r="C29" s="47"/>
      <c r="D29" s="47"/>
      <c r="E29" s="47"/>
      <c r="F29" s="47"/>
      <c r="G29" s="47"/>
    </row>
    <row r="30" spans="1:7">
      <c r="A30" s="46"/>
      <c r="B30" s="52"/>
      <c r="C30" s="46"/>
      <c r="D30" s="46"/>
      <c r="E30" s="46"/>
      <c r="F30" s="46"/>
      <c r="G30" s="46"/>
    </row>
    <row r="31" spans="1:7">
      <c r="A31" s="46"/>
      <c r="B31" s="52"/>
      <c r="C31" s="46"/>
      <c r="D31" s="46"/>
      <c r="E31" s="46"/>
      <c r="F31" s="46"/>
      <c r="G31" s="46"/>
    </row>
    <row r="32" spans="1:7">
      <c r="B32" s="137"/>
    </row>
  </sheetData>
  <mergeCells count="9">
    <mergeCell ref="B7:C7"/>
    <mergeCell ref="D7:E7"/>
    <mergeCell ref="F7:G7"/>
    <mergeCell ref="A1:G1"/>
    <mergeCell ref="A2:G2"/>
    <mergeCell ref="A3:G3"/>
    <mergeCell ref="B6:C6"/>
    <mergeCell ref="D6:E6"/>
    <mergeCell ref="F6:G6"/>
  </mergeCells>
  <pageMargins left="0.7" right="0.7" top="0.75" bottom="0.75" header="0.3" footer="0.3"/>
  <pageSetup scale="85" orientation="portrait" r:id="rId1"/>
  <ignoredErrors>
    <ignoredError sqref="D11:D12 D18:D20 F11:F12 F18:F1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H44"/>
  <sheetViews>
    <sheetView zoomScaleNormal="100" workbookViewId="0">
      <selection activeCell="A16" sqref="A16"/>
    </sheetView>
  </sheetViews>
  <sheetFormatPr defaultColWidth="9.33203125" defaultRowHeight="12.75"/>
  <cols>
    <col min="1" max="1" width="80.83203125" style="134" customWidth="1"/>
    <col min="2" max="5" width="20.83203125" style="134" customWidth="1"/>
    <col min="6" max="6" width="9.33203125" style="134"/>
    <col min="7" max="7" width="14.33203125" style="134" customWidth="1"/>
    <col min="8" max="16384" width="9.33203125" style="134"/>
  </cols>
  <sheetData>
    <row r="1" spans="1:8" ht="15.75">
      <c r="A1" s="224" t="s">
        <v>106</v>
      </c>
      <c r="B1" s="224"/>
      <c r="C1" s="224"/>
      <c r="D1" s="224"/>
      <c r="E1" s="224"/>
      <c r="F1" s="51"/>
      <c r="G1" s="51"/>
      <c r="H1" s="51"/>
    </row>
    <row r="2" spans="1:8" ht="15.75">
      <c r="A2" s="224" t="s">
        <v>79</v>
      </c>
      <c r="B2" s="224"/>
      <c r="C2" s="224"/>
      <c r="D2" s="224"/>
      <c r="E2" s="224"/>
      <c r="F2" s="51"/>
      <c r="G2" s="91"/>
      <c r="H2" s="51"/>
    </row>
    <row r="3" spans="1:8" ht="15.75">
      <c r="A3" s="224" t="s">
        <v>99</v>
      </c>
      <c r="B3" s="224"/>
      <c r="C3" s="224"/>
      <c r="D3" s="224"/>
      <c r="E3" s="224"/>
      <c r="F3" s="51"/>
      <c r="G3" s="91"/>
      <c r="H3" s="51"/>
    </row>
    <row r="4" spans="1:8">
      <c r="A4" s="133"/>
      <c r="B4" s="133"/>
      <c r="C4" s="133"/>
      <c r="D4" s="133"/>
      <c r="E4" s="133"/>
      <c r="F4" s="133"/>
      <c r="G4" s="133"/>
      <c r="H4" s="133"/>
    </row>
    <row r="5" spans="1:8" ht="27.75" customHeight="1">
      <c r="A5" s="228" t="s">
        <v>114</v>
      </c>
      <c r="B5" s="229"/>
      <c r="C5" s="229"/>
      <c r="D5" s="229"/>
      <c r="E5" s="229"/>
      <c r="F5" s="133"/>
      <c r="G5" s="133"/>
      <c r="H5" s="133"/>
    </row>
    <row r="6" spans="1:8">
      <c r="A6" s="133"/>
      <c r="B6" s="133"/>
      <c r="C6" s="133"/>
      <c r="D6" s="133"/>
      <c r="E6" s="133"/>
      <c r="F6" s="133"/>
      <c r="G6" s="133"/>
      <c r="H6" s="133"/>
    </row>
    <row r="7" spans="1:8" ht="15.75" customHeight="1">
      <c r="A7" s="138" t="s">
        <v>86</v>
      </c>
      <c r="B7" s="139"/>
      <c r="C7" s="139"/>
      <c r="D7" s="139"/>
      <c r="E7" s="139"/>
    </row>
    <row r="8" spans="1:8">
      <c r="A8" s="230"/>
      <c r="B8" s="230"/>
      <c r="C8" s="230"/>
      <c r="D8" s="230"/>
      <c r="E8" s="230"/>
    </row>
    <row r="9" spans="1:8" ht="97.5" customHeight="1">
      <c r="A9" s="227" t="s">
        <v>164</v>
      </c>
      <c r="B9" s="227"/>
      <c r="C9" s="227"/>
      <c r="D9" s="227"/>
      <c r="E9" s="227"/>
    </row>
    <row r="11" spans="1:8" ht="15">
      <c r="A11" s="140" t="s">
        <v>190</v>
      </c>
      <c r="B11" s="141" t="s">
        <v>66</v>
      </c>
      <c r="C11" s="142" t="s">
        <v>126</v>
      </c>
      <c r="D11" s="142" t="s">
        <v>127</v>
      </c>
      <c r="E11" s="143" t="s">
        <v>80</v>
      </c>
    </row>
    <row r="12" spans="1:8">
      <c r="A12" s="144" t="s">
        <v>128</v>
      </c>
      <c r="B12" s="145"/>
      <c r="C12" s="145"/>
      <c r="D12" s="145"/>
      <c r="E12" s="145"/>
    </row>
    <row r="13" spans="1:8">
      <c r="A13" s="144" t="s">
        <v>165</v>
      </c>
      <c r="B13" s="63">
        <f>SUM(B14:B17)</f>
        <v>536172</v>
      </c>
      <c r="C13" s="63">
        <f>SUM(C14:C17)</f>
        <v>333759</v>
      </c>
      <c r="D13" s="63">
        <f>SUM(D14:D17)</f>
        <v>0</v>
      </c>
      <c r="E13" s="63">
        <f>SUM(B13:D13)</f>
        <v>869931</v>
      </c>
      <c r="G13" s="146"/>
    </row>
    <row r="14" spans="1:8">
      <c r="A14" s="144" t="s">
        <v>129</v>
      </c>
      <c r="B14" s="63"/>
      <c r="C14" s="63"/>
      <c r="D14" s="63"/>
      <c r="E14" s="63"/>
    </row>
    <row r="15" spans="1:8">
      <c r="A15" s="147" t="s">
        <v>130</v>
      </c>
      <c r="B15" s="67">
        <v>0</v>
      </c>
      <c r="C15" s="67">
        <v>-2668</v>
      </c>
      <c r="D15" s="67">
        <v>0</v>
      </c>
      <c r="E15" s="72">
        <f>SUM(B15:D15)</f>
        <v>-2668</v>
      </c>
    </row>
    <row r="16" spans="1:8">
      <c r="A16" s="148" t="s">
        <v>131</v>
      </c>
      <c r="B16" s="67">
        <v>96054</v>
      </c>
      <c r="C16" s="67">
        <v>21721</v>
      </c>
      <c r="D16" s="67">
        <v>0</v>
      </c>
      <c r="E16" s="72">
        <f>SUM(B16:D16)</f>
        <v>117775</v>
      </c>
    </row>
    <row r="17" spans="1:7" ht="13.5" thickBot="1">
      <c r="A17" s="144" t="s">
        <v>132</v>
      </c>
      <c r="B17" s="69">
        <v>440118</v>
      </c>
      <c r="C17" s="69">
        <f>312039+2667</f>
        <v>314706</v>
      </c>
      <c r="D17" s="69">
        <v>0</v>
      </c>
      <c r="E17" s="69">
        <f>SUM(B17:D17)</f>
        <v>754824</v>
      </c>
    </row>
    <row r="18" spans="1:7" ht="13.5" thickTop="1">
      <c r="A18" s="144" t="s">
        <v>133</v>
      </c>
      <c r="B18" s="136">
        <v>2154.8000000000002</v>
      </c>
      <c r="C18" s="136">
        <v>17021.259999999998</v>
      </c>
      <c r="D18" s="63"/>
      <c r="E18" s="63"/>
    </row>
    <row r="19" spans="1:7">
      <c r="A19" s="144" t="s">
        <v>134</v>
      </c>
      <c r="B19" s="68">
        <f>B17/B18</f>
        <v>204.2500464080193</v>
      </c>
      <c r="C19" s="68">
        <f>C17/C18</f>
        <v>18.488995526770641</v>
      </c>
      <c r="D19" s="63"/>
      <c r="E19" s="63"/>
      <c r="G19" s="213"/>
    </row>
    <row r="20" spans="1:7">
      <c r="B20" s="80"/>
      <c r="C20" s="80"/>
      <c r="G20" s="213"/>
    </row>
    <row r="22" spans="1:7" ht="15">
      <c r="A22" s="140" t="s">
        <v>180</v>
      </c>
      <c r="B22" s="141" t="s">
        <v>66</v>
      </c>
      <c r="C22" s="142" t="s">
        <v>126</v>
      </c>
      <c r="D22" s="142" t="s">
        <v>127</v>
      </c>
      <c r="E22" s="143" t="s">
        <v>80</v>
      </c>
    </row>
    <row r="23" spans="1:7">
      <c r="A23" s="169" t="s">
        <v>128</v>
      </c>
      <c r="B23" s="145"/>
      <c r="C23" s="145"/>
      <c r="D23" s="145"/>
      <c r="E23" s="145"/>
    </row>
    <row r="24" spans="1:7">
      <c r="A24" s="169" t="s">
        <v>165</v>
      </c>
      <c r="B24" s="63">
        <f>SUM(B25:B28)</f>
        <v>516742</v>
      </c>
      <c r="C24" s="63">
        <f>SUM(C25:C28)</f>
        <v>342722</v>
      </c>
      <c r="D24" s="63">
        <f>SUM(D25:D28)</f>
        <v>0</v>
      </c>
      <c r="E24" s="63">
        <f>SUM(B24:D24)</f>
        <v>859464</v>
      </c>
    </row>
    <row r="25" spans="1:7">
      <c r="A25" s="169" t="s">
        <v>129</v>
      </c>
      <c r="B25" s="63"/>
      <c r="C25" s="63"/>
      <c r="D25" s="63"/>
      <c r="E25" s="63"/>
    </row>
    <row r="26" spans="1:7">
      <c r="A26" s="147" t="s">
        <v>130</v>
      </c>
      <c r="B26" s="67">
        <v>0</v>
      </c>
      <c r="C26" s="67">
        <v>909</v>
      </c>
      <c r="D26" s="67">
        <v>0</v>
      </c>
      <c r="E26" s="72">
        <f>SUM(B26:D26)</f>
        <v>909</v>
      </c>
    </row>
    <row r="27" spans="1:7">
      <c r="A27" s="148" t="s">
        <v>131</v>
      </c>
      <c r="B27" s="67">
        <v>108785</v>
      </c>
      <c r="C27" s="67">
        <v>26834</v>
      </c>
      <c r="D27" s="67">
        <v>0</v>
      </c>
      <c r="E27" s="72">
        <f>SUM(B27:D27)</f>
        <v>135619</v>
      </c>
    </row>
    <row r="28" spans="1:7" ht="13.5" thickBot="1">
      <c r="A28" s="169" t="s">
        <v>132</v>
      </c>
      <c r="B28" s="69">
        <v>407957</v>
      </c>
      <c r="C28" s="69">
        <v>314979</v>
      </c>
      <c r="D28" s="69">
        <v>0</v>
      </c>
      <c r="E28" s="69">
        <f>SUM(B28:D28)</f>
        <v>722936</v>
      </c>
    </row>
    <row r="29" spans="1:7" ht="13.5" thickTop="1">
      <c r="A29" s="169" t="s">
        <v>133</v>
      </c>
      <c r="B29" s="136">
        <v>2266.7009600000001</v>
      </c>
      <c r="C29" s="136">
        <v>16090.804749999999</v>
      </c>
      <c r="D29" s="63"/>
      <c r="E29" s="63"/>
    </row>
    <row r="30" spans="1:7">
      <c r="A30" s="144" t="s">
        <v>134</v>
      </c>
      <c r="B30" s="68">
        <f>B28/B29</f>
        <v>179.97830644585775</v>
      </c>
      <c r="C30" s="68">
        <f>C28/C29</f>
        <v>19.575093035666846</v>
      </c>
      <c r="D30" s="63"/>
      <c r="E30" s="63"/>
    </row>
    <row r="31" spans="1:7">
      <c r="A31" s="149"/>
      <c r="B31" s="63"/>
      <c r="C31" s="63"/>
      <c r="D31" s="63"/>
      <c r="E31" s="63"/>
    </row>
    <row r="32" spans="1:7" ht="15">
      <c r="A32" s="150"/>
      <c r="B32" s="151"/>
      <c r="C32" s="151"/>
      <c r="D32" s="152"/>
      <c r="E32" s="151"/>
    </row>
    <row r="33" spans="1:5" ht="15">
      <c r="A33" s="140" t="s">
        <v>189</v>
      </c>
      <c r="B33" s="141" t="s">
        <v>66</v>
      </c>
      <c r="C33" s="142" t="s">
        <v>126</v>
      </c>
      <c r="D33" s="142" t="s">
        <v>127</v>
      </c>
      <c r="E33" s="143" t="s">
        <v>80</v>
      </c>
    </row>
    <row r="34" spans="1:5">
      <c r="A34" s="144" t="s">
        <v>128</v>
      </c>
      <c r="B34" s="145"/>
      <c r="C34" s="145"/>
      <c r="D34" s="145"/>
      <c r="E34" s="145"/>
    </row>
    <row r="35" spans="1:5">
      <c r="A35" s="144" t="s">
        <v>165</v>
      </c>
      <c r="B35" s="63">
        <f>SUM(B36:B40)</f>
        <v>472171</v>
      </c>
      <c r="C35" s="63">
        <f>SUM(C36:C40)</f>
        <v>395765</v>
      </c>
      <c r="D35" s="63">
        <f>SUM(D36:D40)</f>
        <v>0</v>
      </c>
      <c r="E35" s="63">
        <f>SUM(B35:D35)</f>
        <v>867936</v>
      </c>
    </row>
    <row r="36" spans="1:5">
      <c r="A36" s="144" t="s">
        <v>129</v>
      </c>
      <c r="B36" s="63"/>
      <c r="C36" s="63"/>
      <c r="D36" s="63"/>
      <c r="E36" s="63"/>
    </row>
    <row r="37" spans="1:5">
      <c r="A37" s="147" t="s">
        <v>130</v>
      </c>
      <c r="B37" s="67">
        <v>0</v>
      </c>
      <c r="C37" s="67">
        <v>9074</v>
      </c>
      <c r="D37" s="67">
        <v>0</v>
      </c>
      <c r="E37" s="72">
        <f>SUM(B37:D37)</f>
        <v>9074</v>
      </c>
    </row>
    <row r="38" spans="1:5">
      <c r="A38" s="148" t="s">
        <v>182</v>
      </c>
      <c r="B38" s="67">
        <v>0</v>
      </c>
      <c r="C38" s="67">
        <v>0</v>
      </c>
      <c r="D38" s="67">
        <v>-1</v>
      </c>
      <c r="E38" s="72">
        <f>SUM(B38:D38)</f>
        <v>-1</v>
      </c>
    </row>
    <row r="39" spans="1:5">
      <c r="A39" s="148" t="s">
        <v>131</v>
      </c>
      <c r="B39" s="67">
        <v>77863</v>
      </c>
      <c r="C39" s="67">
        <v>43744</v>
      </c>
      <c r="D39" s="67">
        <v>1</v>
      </c>
      <c r="E39" s="72">
        <f>SUM(B39:D39)</f>
        <v>121608</v>
      </c>
    </row>
    <row r="40" spans="1:5" ht="13.5" thickBot="1">
      <c r="A40" s="144" t="s">
        <v>132</v>
      </c>
      <c r="B40" s="69">
        <v>394308</v>
      </c>
      <c r="C40" s="69">
        <v>342947</v>
      </c>
      <c r="D40" s="69">
        <v>0</v>
      </c>
      <c r="E40" s="69">
        <f>SUM(B40:D40)</f>
        <v>737255</v>
      </c>
    </row>
    <row r="41" spans="1:5" ht="13.5" thickTop="1">
      <c r="A41" s="144" t="s">
        <v>133</v>
      </c>
      <c r="B41" s="136">
        <v>1543.17643</v>
      </c>
      <c r="C41" s="136">
        <v>18194.735690000001</v>
      </c>
      <c r="D41" s="63"/>
      <c r="E41" s="63"/>
    </row>
    <row r="42" spans="1:5">
      <c r="A42" s="144" t="s">
        <v>134</v>
      </c>
      <c r="B42" s="68">
        <f>B40/B41</f>
        <v>255.51712191456943</v>
      </c>
      <c r="C42" s="68">
        <f>C40/C41</f>
        <v>18.848693701469205</v>
      </c>
      <c r="D42" s="63"/>
      <c r="E42" s="63"/>
    </row>
    <row r="43" spans="1:5">
      <c r="A43" s="144"/>
      <c r="B43" s="145"/>
      <c r="C43" s="145"/>
      <c r="D43" s="145"/>
      <c r="E43" s="145"/>
    </row>
    <row r="44" spans="1:5" ht="15">
      <c r="A44" s="153"/>
      <c r="B44" s="154"/>
      <c r="C44" s="154"/>
      <c r="D44" s="155"/>
      <c r="E44" s="154"/>
    </row>
  </sheetData>
  <mergeCells count="6">
    <mergeCell ref="A9:E9"/>
    <mergeCell ref="A1:E1"/>
    <mergeCell ref="A2:E2"/>
    <mergeCell ref="A3:E3"/>
    <mergeCell ref="A5:E5"/>
    <mergeCell ref="A8:E8"/>
  </mergeCells>
  <pageMargins left="0.7" right="0.7" top="0.75" bottom="0.75" header="0.3" footer="0.3"/>
  <pageSetup scale="61" orientation="portrait" r:id="rId1"/>
  <ignoredErrors>
    <ignoredError sqref="B31:D34 B13:C13 D42 D41 B24:C24 B35:C3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J47"/>
  <sheetViews>
    <sheetView topLeftCell="A7" workbookViewId="0">
      <selection activeCell="A14" sqref="A14"/>
    </sheetView>
  </sheetViews>
  <sheetFormatPr defaultColWidth="9.33203125" defaultRowHeight="12.75"/>
  <cols>
    <col min="1" max="1" width="82.1640625" style="134" customWidth="1"/>
    <col min="2" max="5" width="20.83203125" style="134" customWidth="1"/>
    <col min="6" max="6" width="9.33203125" style="134"/>
    <col min="7" max="7" width="14.33203125" style="134" customWidth="1"/>
    <col min="8" max="8" width="10.83203125" style="134" bestFit="1" customWidth="1"/>
    <col min="9" max="16384" width="9.33203125" style="134"/>
  </cols>
  <sheetData>
    <row r="1" spans="1:8" ht="15.75">
      <c r="A1" s="224" t="s">
        <v>106</v>
      </c>
      <c r="B1" s="224"/>
      <c r="C1" s="224"/>
      <c r="D1" s="224"/>
      <c r="E1" s="224"/>
      <c r="F1" s="51"/>
      <c r="G1" s="51"/>
      <c r="H1" s="51"/>
    </row>
    <row r="2" spans="1:8" ht="15.75">
      <c r="A2" s="224" t="s">
        <v>79</v>
      </c>
      <c r="B2" s="224"/>
      <c r="C2" s="224"/>
      <c r="D2" s="224"/>
      <c r="E2" s="224"/>
      <c r="F2" s="51"/>
      <c r="G2" s="91"/>
      <c r="H2" s="51"/>
    </row>
    <row r="3" spans="1:8" ht="15.75">
      <c r="A3" s="224" t="s">
        <v>99</v>
      </c>
      <c r="B3" s="224"/>
      <c r="C3" s="224"/>
      <c r="D3" s="224"/>
      <c r="E3" s="224"/>
      <c r="F3" s="51"/>
      <c r="G3" s="91"/>
      <c r="H3" s="51"/>
    </row>
    <row r="4" spans="1:8">
      <c r="A4" s="133"/>
      <c r="B4" s="133"/>
      <c r="C4" s="133"/>
      <c r="D4" s="133"/>
      <c r="E4" s="133"/>
      <c r="F4" s="133"/>
      <c r="G4" s="133"/>
      <c r="H4" s="133"/>
    </row>
    <row r="5" spans="1:8" ht="16.5" customHeight="1">
      <c r="A5" s="138" t="s">
        <v>87</v>
      </c>
      <c r="B5" s="139"/>
      <c r="C5" s="139"/>
      <c r="D5" s="139"/>
      <c r="E5" s="139"/>
    </row>
    <row r="6" spans="1:8">
      <c r="A6" s="230"/>
      <c r="B6" s="230"/>
      <c r="C6" s="230"/>
      <c r="D6" s="230"/>
      <c r="E6" s="230"/>
    </row>
    <row r="7" spans="1:8" ht="84.75" customHeight="1">
      <c r="A7" s="227" t="s">
        <v>166</v>
      </c>
      <c r="B7" s="227"/>
      <c r="C7" s="227"/>
      <c r="D7" s="227"/>
      <c r="E7" s="227"/>
    </row>
    <row r="9" spans="1:8" ht="15">
      <c r="A9" s="140" t="str">
        <f>'NON-GAAP Sales'!A11</f>
        <v>Quarter ended March 31, 2023</v>
      </c>
      <c r="B9" s="141" t="s">
        <v>66</v>
      </c>
      <c r="C9" s="142" t="s">
        <v>126</v>
      </c>
      <c r="D9" s="142" t="s">
        <v>127</v>
      </c>
      <c r="E9" s="143" t="s">
        <v>80</v>
      </c>
    </row>
    <row r="10" spans="1:8">
      <c r="A10" s="144" t="s">
        <v>10</v>
      </c>
      <c r="B10" s="145"/>
      <c r="C10" s="145"/>
      <c r="D10" s="145"/>
      <c r="E10" s="145"/>
    </row>
    <row r="11" spans="1:8">
      <c r="A11" s="144" t="s">
        <v>167</v>
      </c>
      <c r="B11" s="63">
        <f>SUM(B12:B17)</f>
        <v>274171</v>
      </c>
      <c r="C11" s="63">
        <f>SUM(C12:C17)</f>
        <v>289506</v>
      </c>
      <c r="D11" s="63">
        <f>SUM(D12:D17)</f>
        <v>8060</v>
      </c>
      <c r="E11" s="63">
        <f>SUM(B11:D11)</f>
        <v>571737</v>
      </c>
      <c r="H11" s="156"/>
    </row>
    <row r="12" spans="1:8">
      <c r="A12" s="144" t="s">
        <v>113</v>
      </c>
      <c r="B12" s="63"/>
      <c r="C12" s="63"/>
      <c r="D12" s="63"/>
      <c r="E12" s="63"/>
    </row>
    <row r="13" spans="1:8">
      <c r="A13" s="181" t="s">
        <v>148</v>
      </c>
      <c r="B13" s="67">
        <v>0</v>
      </c>
      <c r="C13" s="67">
        <v>-1008</v>
      </c>
      <c r="D13" s="67"/>
      <c r="E13" s="72">
        <f>SUM(B13:D13)</f>
        <v>-1008</v>
      </c>
    </row>
    <row r="14" spans="1:8">
      <c r="A14" s="148" t="s">
        <v>81</v>
      </c>
      <c r="B14" s="72">
        <f>'NON-GAAP Sales'!B16</f>
        <v>96054</v>
      </c>
      <c r="C14" s="72">
        <f>'NON-GAAP Sales'!C16</f>
        <v>21721</v>
      </c>
      <c r="D14" s="72">
        <f>'NON-GAAP Sales'!D16</f>
        <v>0</v>
      </c>
      <c r="E14" s="72">
        <f>SUM(B14:D14)</f>
        <v>117775</v>
      </c>
      <c r="G14" s="188"/>
      <c r="H14" s="188"/>
    </row>
    <row r="15" spans="1:8">
      <c r="A15" s="148" t="s">
        <v>183</v>
      </c>
      <c r="B15" s="67">
        <v>0</v>
      </c>
      <c r="C15" s="67">
        <v>0</v>
      </c>
      <c r="D15" s="67">
        <v>5178</v>
      </c>
      <c r="E15" s="72">
        <f>SUM(B15:D15)</f>
        <v>5178</v>
      </c>
    </row>
    <row r="16" spans="1:8">
      <c r="A16" s="148" t="s">
        <v>83</v>
      </c>
      <c r="B16" s="67">
        <v>0</v>
      </c>
      <c r="C16" s="67">
        <v>0</v>
      </c>
      <c r="D16" s="72">
        <v>2882</v>
      </c>
      <c r="E16" s="72">
        <f>SUM(B16:D16)</f>
        <v>2882</v>
      </c>
    </row>
    <row r="17" spans="1:10" ht="13.5" thickBot="1">
      <c r="A17" s="144" t="s">
        <v>84</v>
      </c>
      <c r="B17" s="69">
        <v>178117</v>
      </c>
      <c r="C17" s="69">
        <v>268793</v>
      </c>
      <c r="D17" s="69">
        <v>0</v>
      </c>
      <c r="E17" s="69">
        <f>SUM(B17:D17)</f>
        <v>446910</v>
      </c>
    </row>
    <row r="18" spans="1:10" ht="13.5" thickTop="1">
      <c r="A18" s="144" t="s">
        <v>82</v>
      </c>
      <c r="B18" s="72">
        <f>'NON-GAAP Sales'!B18</f>
        <v>2154.8000000000002</v>
      </c>
      <c r="C18" s="72">
        <f>'NON-GAAP Sales'!C18</f>
        <v>17021.259999999998</v>
      </c>
      <c r="D18" s="63"/>
      <c r="E18" s="63"/>
    </row>
    <row r="19" spans="1:10">
      <c r="A19" s="144" t="s">
        <v>85</v>
      </c>
      <c r="B19" s="68">
        <f>B17/B18</f>
        <v>82.660571746797842</v>
      </c>
      <c r="C19" s="68">
        <f>C17/C18</f>
        <v>15.791604146814045</v>
      </c>
      <c r="D19" s="63"/>
      <c r="E19" s="63"/>
      <c r="H19" s="137"/>
      <c r="I19" s="137"/>
      <c r="J19" s="137"/>
    </row>
    <row r="20" spans="1:10">
      <c r="A20" s="144"/>
      <c r="B20" s="62"/>
      <c r="C20" s="62"/>
      <c r="D20" s="62"/>
      <c r="E20" s="62"/>
    </row>
    <row r="21" spans="1:10" ht="15">
      <c r="A21" s="153"/>
      <c r="B21" s="154"/>
      <c r="C21" s="154"/>
      <c r="D21" s="155"/>
      <c r="E21" s="154"/>
    </row>
    <row r="22" spans="1:10" ht="15">
      <c r="A22" s="204" t="str">
        <f>'NON-GAAP Sales'!A22</f>
        <v>Quarter ended December 31, 2022</v>
      </c>
      <c r="B22" s="205" t="s">
        <v>66</v>
      </c>
      <c r="C22" s="206" t="s">
        <v>126</v>
      </c>
      <c r="D22" s="206" t="s">
        <v>127</v>
      </c>
      <c r="E22" s="207" t="s">
        <v>80</v>
      </c>
    </row>
    <row r="23" spans="1:10">
      <c r="A23" s="149" t="s">
        <v>10</v>
      </c>
      <c r="B23" s="208"/>
      <c r="C23" s="208"/>
      <c r="D23" s="208"/>
      <c r="E23" s="208"/>
    </row>
    <row r="24" spans="1:10">
      <c r="A24" s="149" t="s">
        <v>167</v>
      </c>
      <c r="B24" s="63">
        <f>SUM(B25:B30)</f>
        <v>305597</v>
      </c>
      <c r="C24" s="63">
        <f>SUM(C25:C30)</f>
        <v>282117</v>
      </c>
      <c r="D24" s="63">
        <f>SUM(D25:D30)</f>
        <v>-6863</v>
      </c>
      <c r="E24" s="63">
        <f>SUM(B24:D24)</f>
        <v>580851</v>
      </c>
    </row>
    <row r="25" spans="1:10">
      <c r="A25" s="149" t="s">
        <v>113</v>
      </c>
      <c r="B25" s="63"/>
      <c r="C25" s="63"/>
      <c r="D25" s="63"/>
      <c r="E25" s="63"/>
    </row>
    <row r="26" spans="1:10">
      <c r="A26" s="209" t="s">
        <v>148</v>
      </c>
      <c r="B26" s="67">
        <v>0</v>
      </c>
      <c r="C26" s="67">
        <v>2165</v>
      </c>
      <c r="D26" s="67">
        <v>0</v>
      </c>
      <c r="E26" s="72">
        <f>SUM(B26:D26)</f>
        <v>2165</v>
      </c>
    </row>
    <row r="27" spans="1:10">
      <c r="A27" s="210" t="s">
        <v>81</v>
      </c>
      <c r="B27" s="72">
        <f>'NON-GAAP Sales'!B27</f>
        <v>108785</v>
      </c>
      <c r="C27" s="72">
        <f>'NON-GAAP Sales'!C27</f>
        <v>26834</v>
      </c>
      <c r="D27" s="72">
        <f>'NON-GAAP Sales'!D28</f>
        <v>0</v>
      </c>
      <c r="E27" s="72">
        <f>SUM(B27:D27)</f>
        <v>135619</v>
      </c>
    </row>
    <row r="28" spans="1:10">
      <c r="A28" s="210" t="s">
        <v>183</v>
      </c>
      <c r="B28" s="67">
        <v>0</v>
      </c>
      <c r="C28" s="67">
        <v>0</v>
      </c>
      <c r="D28" s="67">
        <v>-9702</v>
      </c>
      <c r="E28" s="72">
        <f>SUM(B28:D28)</f>
        <v>-9702</v>
      </c>
    </row>
    <row r="29" spans="1:10">
      <c r="A29" s="210" t="s">
        <v>83</v>
      </c>
      <c r="B29" s="67">
        <v>0</v>
      </c>
      <c r="C29" s="67">
        <v>0</v>
      </c>
      <c r="D29" s="72">
        <v>2839</v>
      </c>
      <c r="E29" s="72">
        <f>SUM(B29:D29)</f>
        <v>2839</v>
      </c>
    </row>
    <row r="30" spans="1:10" ht="13.5" thickBot="1">
      <c r="A30" s="149" t="s">
        <v>84</v>
      </c>
      <c r="B30" s="69">
        <v>196812</v>
      </c>
      <c r="C30" s="69">
        <v>253118</v>
      </c>
      <c r="D30" s="69">
        <v>0</v>
      </c>
      <c r="E30" s="69">
        <f>SUM(B30:D30)</f>
        <v>449930</v>
      </c>
    </row>
    <row r="31" spans="1:10" ht="13.5" thickTop="1">
      <c r="A31" s="149" t="s">
        <v>82</v>
      </c>
      <c r="B31" s="72">
        <f>'NON-GAAP Sales'!B29</f>
        <v>2266.7009600000001</v>
      </c>
      <c r="C31" s="72">
        <f>'NON-GAAP Sales'!C29</f>
        <v>16090.804749999999</v>
      </c>
      <c r="D31" s="63"/>
      <c r="E31" s="63"/>
    </row>
    <row r="32" spans="1:10">
      <c r="A32" s="149" t="s">
        <v>85</v>
      </c>
      <c r="B32" s="68">
        <f>B30/B31</f>
        <v>86.827509880262284</v>
      </c>
      <c r="C32" s="68">
        <f>C30/C31</f>
        <v>15.730599179633947</v>
      </c>
      <c r="D32" s="63"/>
      <c r="E32" s="63"/>
    </row>
    <row r="33" spans="1:5">
      <c r="A33" s="149"/>
      <c r="B33" s="208"/>
      <c r="C33" s="208"/>
      <c r="D33" s="208"/>
      <c r="E33" s="208"/>
    </row>
    <row r="34" spans="1:5" ht="15">
      <c r="A34" s="150"/>
      <c r="B34" s="151"/>
      <c r="C34" s="151"/>
      <c r="D34" s="152"/>
      <c r="E34" s="151"/>
    </row>
    <row r="35" spans="1:5" ht="15">
      <c r="A35" s="204" t="str">
        <f>'NON-GAAP Sales'!A33</f>
        <v>Quarter ended March 31, 2022</v>
      </c>
      <c r="B35" s="205" t="s">
        <v>66</v>
      </c>
      <c r="C35" s="206" t="s">
        <v>126</v>
      </c>
      <c r="D35" s="206" t="s">
        <v>127</v>
      </c>
      <c r="E35" s="207" t="s">
        <v>80</v>
      </c>
    </row>
    <row r="36" spans="1:5">
      <c r="A36" s="149" t="s">
        <v>10</v>
      </c>
      <c r="B36" s="208"/>
      <c r="C36" s="208"/>
      <c r="D36" s="208"/>
      <c r="E36" s="208"/>
    </row>
    <row r="37" spans="1:5">
      <c r="A37" s="149" t="s">
        <v>167</v>
      </c>
      <c r="B37" s="63">
        <f>SUM(B38:B43)</f>
        <v>213728</v>
      </c>
      <c r="C37" s="63">
        <f>SUM(C38:C43)</f>
        <v>288084</v>
      </c>
      <c r="D37" s="63">
        <f>SUM(D38:D43)</f>
        <v>6413</v>
      </c>
      <c r="E37" s="63">
        <f>SUM(B37:D37)</f>
        <v>508225</v>
      </c>
    </row>
    <row r="38" spans="1:5">
      <c r="A38" s="149" t="s">
        <v>113</v>
      </c>
      <c r="B38" s="63"/>
      <c r="C38" s="63"/>
      <c r="D38" s="63"/>
      <c r="E38" s="63"/>
    </row>
    <row r="39" spans="1:5">
      <c r="A39" s="209" t="s">
        <v>148</v>
      </c>
      <c r="B39" s="67">
        <v>0</v>
      </c>
      <c r="C39" s="67">
        <v>27</v>
      </c>
      <c r="D39" s="67">
        <v>0</v>
      </c>
      <c r="E39" s="72">
        <f>SUM(B39:D39)</f>
        <v>27</v>
      </c>
    </row>
    <row r="40" spans="1:5">
      <c r="A40" s="210" t="s">
        <v>81</v>
      </c>
      <c r="B40" s="72">
        <f>'NON-GAAP Sales'!B39</f>
        <v>77863</v>
      </c>
      <c r="C40" s="72">
        <f>'NON-GAAP Sales'!C39</f>
        <v>43744</v>
      </c>
      <c r="D40" s="72">
        <f>'NON-GAAP Sales'!D39</f>
        <v>1</v>
      </c>
      <c r="E40" s="72">
        <f>SUM(B40:D40)</f>
        <v>121608</v>
      </c>
    </row>
    <row r="41" spans="1:5">
      <c r="A41" s="210" t="s">
        <v>183</v>
      </c>
      <c r="B41" s="67">
        <v>0</v>
      </c>
      <c r="C41" s="67">
        <v>0</v>
      </c>
      <c r="D41" s="67">
        <v>3704</v>
      </c>
      <c r="E41" s="72">
        <f>SUM(B41:D41)</f>
        <v>3704</v>
      </c>
    </row>
    <row r="42" spans="1:5">
      <c r="A42" s="210" t="s">
        <v>83</v>
      </c>
      <c r="B42" s="67">
        <v>0</v>
      </c>
      <c r="C42" s="67">
        <v>0</v>
      </c>
      <c r="D42" s="72">
        <v>2708</v>
      </c>
      <c r="E42" s="72">
        <f>SUM(B42:D42)</f>
        <v>2708</v>
      </c>
    </row>
    <row r="43" spans="1:5" ht="13.5" thickBot="1">
      <c r="A43" s="149" t="s">
        <v>84</v>
      </c>
      <c r="B43" s="69">
        <v>135865</v>
      </c>
      <c r="C43" s="69">
        <v>244313</v>
      </c>
      <c r="D43" s="69">
        <v>0</v>
      </c>
      <c r="E43" s="69">
        <f>SUM(B43:D43)</f>
        <v>380178</v>
      </c>
    </row>
    <row r="44" spans="1:5" ht="13.5" thickTop="1">
      <c r="A44" s="149" t="s">
        <v>82</v>
      </c>
      <c r="B44" s="72">
        <f>'NON-GAAP Sales'!B41</f>
        <v>1543.17643</v>
      </c>
      <c r="C44" s="72">
        <f>'NON-GAAP Sales'!C41</f>
        <v>18194.735690000001</v>
      </c>
      <c r="D44" s="63"/>
      <c r="E44" s="63"/>
    </row>
    <row r="45" spans="1:5">
      <c r="A45" s="149" t="s">
        <v>85</v>
      </c>
      <c r="B45" s="68">
        <f>B43/B44</f>
        <v>88.042428175241113</v>
      </c>
      <c r="C45" s="68">
        <f>C43/C44</f>
        <v>13.427675134312434</v>
      </c>
      <c r="D45" s="63"/>
      <c r="E45" s="63"/>
    </row>
    <row r="46" spans="1:5">
      <c r="A46" s="144"/>
      <c r="B46" s="145"/>
      <c r="C46" s="145"/>
      <c r="D46" s="145"/>
      <c r="E46" s="145"/>
    </row>
    <row r="47" spans="1:5" ht="15">
      <c r="A47" s="153"/>
      <c r="B47" s="154"/>
      <c r="C47" s="154"/>
      <c r="D47" s="155"/>
      <c r="E47" s="154"/>
    </row>
  </sheetData>
  <mergeCells count="5">
    <mergeCell ref="A1:E1"/>
    <mergeCell ref="A2:E2"/>
    <mergeCell ref="A3:E3"/>
    <mergeCell ref="A6:E6"/>
    <mergeCell ref="A7:E7"/>
  </mergeCells>
  <pageMargins left="0.7" right="0.7" top="0.75" bottom="0.75" header="0.3" footer="0.3"/>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pageSetUpPr fitToPage="1"/>
  </sheetPr>
  <dimension ref="A1:I47"/>
  <sheetViews>
    <sheetView topLeftCell="A25" zoomScaleNormal="100" workbookViewId="0">
      <selection activeCell="C12" sqref="C12"/>
    </sheetView>
  </sheetViews>
  <sheetFormatPr defaultColWidth="21.5" defaultRowHeight="13.5" customHeight="1"/>
  <cols>
    <col min="1" max="1" width="83.1640625" style="109" customWidth="1"/>
    <col min="2" max="3" width="20.6640625" style="109" customWidth="1"/>
    <col min="4" max="4" width="2.6640625" style="109" hidden="1" customWidth="1"/>
    <col min="5" max="5" width="20.6640625" style="109" hidden="1" customWidth="1"/>
    <col min="6" max="6" width="19.6640625" style="109" hidden="1" customWidth="1"/>
    <col min="7" max="16384" width="21.5" style="109"/>
  </cols>
  <sheetData>
    <row r="1" spans="1:9" ht="13.5" customHeight="1">
      <c r="A1" s="217" t="s">
        <v>106</v>
      </c>
      <c r="B1" s="221"/>
      <c r="C1" s="231"/>
      <c r="D1" s="231"/>
      <c r="E1" s="221"/>
      <c r="F1" s="221"/>
      <c r="G1" s="108"/>
    </row>
    <row r="2" spans="1:9" ht="13.5" customHeight="1">
      <c r="A2" s="217" t="s">
        <v>39</v>
      </c>
      <c r="B2" s="221"/>
      <c r="C2" s="231"/>
      <c r="D2" s="231"/>
      <c r="E2" s="231"/>
      <c r="F2" s="221"/>
      <c r="G2" s="108"/>
    </row>
    <row r="3" spans="1:9" ht="13.5" customHeight="1">
      <c r="A3" s="217" t="s">
        <v>10</v>
      </c>
      <c r="B3" s="221"/>
      <c r="C3" s="231"/>
      <c r="D3" s="231"/>
      <c r="E3" s="231"/>
      <c r="F3" s="221"/>
      <c r="G3" s="108"/>
    </row>
    <row r="4" spans="1:9" ht="13.5" customHeight="1">
      <c r="A4" s="108"/>
      <c r="B4" s="108"/>
      <c r="C4" s="108"/>
      <c r="D4" s="108"/>
      <c r="E4" s="108"/>
      <c r="F4" s="108"/>
      <c r="G4" s="108"/>
    </row>
    <row r="5" spans="1:9" ht="15.75" customHeight="1">
      <c r="A5" s="6" t="s">
        <v>91</v>
      </c>
      <c r="B5" s="108"/>
      <c r="C5" s="108"/>
      <c r="D5" s="108"/>
      <c r="E5" s="108"/>
      <c r="F5" s="108"/>
      <c r="G5" s="108"/>
    </row>
    <row r="6" spans="1:9" ht="13.5" customHeight="1">
      <c r="A6" s="108"/>
      <c r="B6" s="108"/>
      <c r="C6" s="108"/>
      <c r="D6" s="108"/>
      <c r="E6" s="108"/>
      <c r="F6" s="108"/>
      <c r="G6" s="108"/>
    </row>
    <row r="7" spans="1:9" ht="51.75" customHeight="1">
      <c r="A7" s="232" t="s">
        <v>168</v>
      </c>
      <c r="B7" s="233"/>
      <c r="C7" s="233"/>
      <c r="D7" s="233"/>
      <c r="E7" s="233"/>
      <c r="F7" s="233"/>
      <c r="G7" s="108"/>
    </row>
    <row r="8" spans="1:9" ht="13.5" customHeight="1">
      <c r="A8" s="221"/>
      <c r="B8" s="221"/>
      <c r="C8" s="221"/>
      <c r="D8" s="221"/>
      <c r="E8" s="221"/>
      <c r="F8" s="221"/>
      <c r="G8" s="108"/>
    </row>
    <row r="9" spans="1:9" ht="106.5" customHeight="1">
      <c r="A9" s="232" t="s">
        <v>169</v>
      </c>
      <c r="B9" s="233"/>
      <c r="C9" s="233"/>
      <c r="D9" s="233"/>
      <c r="E9" s="233"/>
      <c r="F9" s="233"/>
      <c r="G9" s="108"/>
    </row>
    <row r="10" spans="1:9" ht="13.5" customHeight="1">
      <c r="A10" s="108"/>
      <c r="B10" s="108"/>
      <c r="C10" s="108"/>
      <c r="D10" s="108"/>
      <c r="E10" s="108"/>
      <c r="F10" s="108"/>
      <c r="G10" s="108"/>
    </row>
    <row r="11" spans="1:9" ht="13.5" customHeight="1">
      <c r="A11" s="108"/>
      <c r="B11" s="219" t="s">
        <v>184</v>
      </c>
      <c r="C11" s="219"/>
      <c r="D11" s="60"/>
      <c r="E11" s="219" t="s">
        <v>176</v>
      </c>
      <c r="F11" s="219"/>
      <c r="G11" s="108"/>
    </row>
    <row r="12" spans="1:9" ht="12.75">
      <c r="A12" s="108"/>
      <c r="B12" s="70">
        <v>2023</v>
      </c>
      <c r="C12" s="70">
        <v>2022</v>
      </c>
      <c r="D12" s="100"/>
      <c r="E12" s="70">
        <v>2022</v>
      </c>
      <c r="F12" s="70">
        <v>2021</v>
      </c>
      <c r="G12" s="7"/>
    </row>
    <row r="13" spans="1:9" ht="13.5" customHeight="1">
      <c r="A13" s="108"/>
      <c r="B13" s="220" t="s">
        <v>1</v>
      </c>
      <c r="C13" s="220"/>
      <c r="D13" s="74"/>
      <c r="E13" s="220" t="s">
        <v>1</v>
      </c>
      <c r="F13" s="220"/>
      <c r="G13" s="82"/>
    </row>
    <row r="14" spans="1:9" ht="13.5" customHeight="1">
      <c r="A14" s="109" t="s">
        <v>157</v>
      </c>
      <c r="B14" s="36">
        <f>+'Income Statement'!B39</f>
        <v>198108</v>
      </c>
      <c r="C14" s="36">
        <f>'Income Statement'!C39</f>
        <v>271872</v>
      </c>
      <c r="D14" s="37"/>
      <c r="E14" s="36">
        <f>'Income Statement'!E39</f>
        <v>0</v>
      </c>
      <c r="F14" s="36">
        <f>'Income Statement'!F39</f>
        <v>0</v>
      </c>
      <c r="G14" s="108"/>
      <c r="H14" s="94"/>
      <c r="I14" s="94"/>
    </row>
    <row r="15" spans="1:9" ht="13.5" customHeight="1">
      <c r="A15" s="3" t="s">
        <v>195</v>
      </c>
      <c r="B15" s="31">
        <f>'Income Statement'!B37</f>
        <v>37138</v>
      </c>
      <c r="C15" s="31">
        <f>'Income Statement'!C37</f>
        <v>455</v>
      </c>
      <c r="D15" s="35"/>
      <c r="E15" s="31">
        <f>'Income Statement'!E37</f>
        <v>0</v>
      </c>
      <c r="F15" s="31">
        <f>'Income Statement'!F37</f>
        <v>0</v>
      </c>
      <c r="G15" s="108"/>
    </row>
    <row r="16" spans="1:9" ht="13.5" customHeight="1">
      <c r="A16" s="3" t="s">
        <v>6</v>
      </c>
      <c r="B16" s="31">
        <f>-'Income Statement'!B27</f>
        <v>790</v>
      </c>
      <c r="C16" s="31">
        <f>-'Income Statement'!C27</f>
        <v>7023</v>
      </c>
      <c r="D16" s="31"/>
      <c r="E16" s="31">
        <f>-'Income Statement'!E27</f>
        <v>0</v>
      </c>
      <c r="F16" s="31">
        <f>-'Income Statement'!F27</f>
        <v>0</v>
      </c>
      <c r="G16" s="108"/>
    </row>
    <row r="17" spans="1:9" ht="13.5" customHeight="1">
      <c r="A17" s="3" t="s">
        <v>4</v>
      </c>
      <c r="B17" s="31">
        <f>'Income Statement'!B14</f>
        <v>35479</v>
      </c>
      <c r="C17" s="31">
        <f>'Income Statement'!C14</f>
        <v>32210</v>
      </c>
      <c r="D17" s="35"/>
      <c r="E17" s="31">
        <f>'Income Statement'!E14</f>
        <v>0</v>
      </c>
      <c r="F17" s="31">
        <f>'Income Statement'!F14</f>
        <v>0</v>
      </c>
      <c r="G17" s="108"/>
    </row>
    <row r="18" spans="1:9" ht="13.5" customHeight="1">
      <c r="A18" s="3" t="s">
        <v>61</v>
      </c>
      <c r="B18" s="31">
        <f>'Income Statement'!B15</f>
        <v>5292</v>
      </c>
      <c r="C18" s="31">
        <f>'Income Statement'!C15</f>
        <v>4430</v>
      </c>
      <c r="D18" s="35"/>
      <c r="E18" s="31">
        <f>'Income Statement'!E15</f>
        <v>0</v>
      </c>
      <c r="F18" s="31">
        <f>'Income Statement'!F15</f>
        <v>0</v>
      </c>
      <c r="G18" s="30"/>
    </row>
    <row r="19" spans="1:9" ht="13.5" customHeight="1">
      <c r="A19" s="3" t="s">
        <v>201</v>
      </c>
      <c r="B19" s="31">
        <f>-'Income Statement'!B32</f>
        <v>-592</v>
      </c>
      <c r="C19" s="31">
        <f>-'Income Statement'!C32</f>
        <v>873</v>
      </c>
      <c r="D19" s="35"/>
      <c r="E19" s="31">
        <f>-'Income Statement'!E32</f>
        <v>0</v>
      </c>
      <c r="F19" s="31">
        <f>-'Income Statement'!F32</f>
        <v>0</v>
      </c>
      <c r="G19" s="108"/>
    </row>
    <row r="20" spans="1:9" s="176" customFormat="1" ht="13.5" customHeight="1">
      <c r="A20" s="3" t="s">
        <v>149</v>
      </c>
      <c r="B20" s="84">
        <f>-'Income Statement'!B33</f>
        <v>1126</v>
      </c>
      <c r="C20" s="84">
        <f>-'Income Statement'!C33</f>
        <v>4120</v>
      </c>
      <c r="D20" s="35"/>
      <c r="E20" s="84">
        <f>-'Income Statement'!E33</f>
        <v>0</v>
      </c>
      <c r="F20" s="84">
        <f>-'Income Statement'!F33</f>
        <v>0</v>
      </c>
      <c r="G20" s="175"/>
    </row>
    <row r="21" spans="1:9" ht="13.5" customHeight="1">
      <c r="A21" s="3"/>
      <c r="B21" s="57"/>
      <c r="C21" s="32"/>
      <c r="D21" s="33"/>
      <c r="E21" s="57"/>
      <c r="F21" s="32"/>
      <c r="G21" s="108"/>
    </row>
    <row r="22" spans="1:9" ht="13.5" customHeight="1">
      <c r="A22" s="109" t="s">
        <v>91</v>
      </c>
      <c r="B22" s="36">
        <f>SUM(B14:B21)</f>
        <v>277341</v>
      </c>
      <c r="C22" s="36">
        <f>SUM(C14:C21)</f>
        <v>320983</v>
      </c>
      <c r="D22" s="37"/>
      <c r="E22" s="36">
        <f>SUM(E14:E21)</f>
        <v>0</v>
      </c>
      <c r="F22" s="36">
        <f>SUM(F14:F21)</f>
        <v>0</v>
      </c>
      <c r="G22" s="4"/>
    </row>
    <row r="23" spans="1:9" ht="13.5" customHeight="1">
      <c r="A23" s="92" t="s">
        <v>100</v>
      </c>
      <c r="B23" s="22">
        <v>4032</v>
      </c>
      <c r="C23" s="22">
        <v>2390</v>
      </c>
      <c r="D23" s="35"/>
      <c r="E23" s="22">
        <v>-828</v>
      </c>
      <c r="F23" s="22">
        <v>2469</v>
      </c>
      <c r="G23" s="30"/>
      <c r="H23" s="95"/>
    </row>
    <row r="24" spans="1:9" ht="13.5" customHeight="1">
      <c r="A24" s="107" t="s">
        <v>5</v>
      </c>
      <c r="B24" s="23">
        <f>'Income Statement'!B17</f>
        <v>26022</v>
      </c>
      <c r="C24" s="23">
        <f>'Income Statement'!C17</f>
        <v>26648</v>
      </c>
      <c r="D24" s="23"/>
      <c r="E24" s="23">
        <f>'Income Statement'!E17</f>
        <v>0</v>
      </c>
      <c r="F24" s="23">
        <f>'Income Statement'!F17</f>
        <v>0</v>
      </c>
    </row>
    <row r="25" spans="1:9" ht="13.5" customHeight="1">
      <c r="A25" s="107" t="s">
        <v>40</v>
      </c>
      <c r="B25" s="25">
        <v>1917</v>
      </c>
      <c r="C25" s="84">
        <v>9482</v>
      </c>
      <c r="D25" s="23"/>
      <c r="E25" s="25">
        <v>10857</v>
      </c>
      <c r="F25" s="84">
        <v>-9702</v>
      </c>
      <c r="G25" s="95"/>
      <c r="H25" s="95"/>
    </row>
    <row r="26" spans="1:9" ht="13.5" customHeight="1">
      <c r="B26" s="111"/>
      <c r="C26" s="203"/>
      <c r="D26" s="203"/>
      <c r="E26" s="203"/>
      <c r="F26" s="203"/>
    </row>
    <row r="27" spans="1:9" ht="13.5" customHeight="1" thickBot="1">
      <c r="A27" s="109" t="s">
        <v>122</v>
      </c>
      <c r="B27" s="116">
        <f>SUM(B22:B25)</f>
        <v>309312</v>
      </c>
      <c r="C27" s="116">
        <f>SUM(C22:C25)</f>
        <v>359503</v>
      </c>
      <c r="D27" s="203"/>
      <c r="E27" s="116">
        <f>SUM(E22:E25)</f>
        <v>10029</v>
      </c>
      <c r="F27" s="116">
        <f>SUM(F22:F25)</f>
        <v>-7233</v>
      </c>
    </row>
    <row r="28" spans="1:9" ht="13.5" customHeight="1" thickTop="1">
      <c r="B28" s="111"/>
      <c r="C28" s="203"/>
      <c r="D28" s="203"/>
      <c r="E28" s="203"/>
      <c r="F28" s="203"/>
    </row>
    <row r="29" spans="1:9" ht="13.5" customHeight="1">
      <c r="A29" s="107" t="s">
        <v>101</v>
      </c>
      <c r="B29" s="111"/>
      <c r="C29" s="203"/>
      <c r="D29" s="203"/>
      <c r="E29" s="203"/>
      <c r="F29" s="203"/>
    </row>
    <row r="30" spans="1:9" ht="13.5" customHeight="1">
      <c r="A30" s="15" t="s">
        <v>66</v>
      </c>
      <c r="B30" s="23">
        <v>263057</v>
      </c>
      <c r="C30" s="23">
        <v>259003</v>
      </c>
      <c r="D30" s="23"/>
      <c r="E30" s="23">
        <v>1021932</v>
      </c>
      <c r="F30" s="23">
        <v>442830</v>
      </c>
      <c r="H30" s="95"/>
      <c r="I30" s="95"/>
    </row>
    <row r="31" spans="1:9" ht="13.5" customHeight="1">
      <c r="A31" s="15" t="s">
        <v>126</v>
      </c>
      <c r="B31" s="25">
        <v>46255</v>
      </c>
      <c r="C31" s="84">
        <v>100500</v>
      </c>
      <c r="D31" s="23"/>
      <c r="E31" s="25">
        <v>353884</v>
      </c>
      <c r="F31" s="84">
        <v>175709</v>
      </c>
      <c r="H31" s="95"/>
      <c r="I31" s="95"/>
    </row>
    <row r="32" spans="1:9" ht="13.5" customHeight="1">
      <c r="A32" s="107"/>
      <c r="B32" s="23"/>
      <c r="C32" s="23"/>
      <c r="D32" s="23"/>
      <c r="E32" s="23"/>
      <c r="F32" s="23"/>
      <c r="G32" s="95"/>
    </row>
    <row r="33" spans="1:7" ht="13.5" customHeight="1" thickBot="1">
      <c r="A33" s="107" t="s">
        <v>102</v>
      </c>
      <c r="B33" s="77">
        <f>SUM(B30:B32)</f>
        <v>309312</v>
      </c>
      <c r="C33" s="77">
        <f>SUM(C30:C32)</f>
        <v>359503</v>
      </c>
      <c r="D33" s="82"/>
      <c r="E33" s="77">
        <f>SUM(E30:E32)</f>
        <v>1375816</v>
      </c>
      <c r="F33" s="77">
        <f>SUM(F30:F32)</f>
        <v>618539</v>
      </c>
    </row>
    <row r="34" spans="1:7" ht="13.5" customHeight="1" thickTop="1">
      <c r="C34" s="203"/>
      <c r="D34" s="203"/>
      <c r="E34" s="203"/>
      <c r="F34" s="203"/>
    </row>
    <row r="35" spans="1:7" ht="13.5" customHeight="1">
      <c r="B35" s="94"/>
      <c r="C35" s="94"/>
      <c r="E35" s="94"/>
      <c r="F35" s="94"/>
    </row>
    <row r="36" spans="1:7" ht="13.5" customHeight="1">
      <c r="A36" s="6" t="s">
        <v>151</v>
      </c>
      <c r="E36" s="94"/>
    </row>
    <row r="37" spans="1:7" ht="26.25" customHeight="1">
      <c r="B37" s="192" t="s">
        <v>186</v>
      </c>
      <c r="C37" s="189"/>
      <c r="D37" s="189"/>
      <c r="E37" s="192" t="s">
        <v>176</v>
      </c>
    </row>
    <row r="38" spans="1:7" s="184" customFormat="1" ht="12.75">
      <c r="B38" s="193">
        <v>2023</v>
      </c>
      <c r="C38" s="189"/>
      <c r="D38" s="189"/>
      <c r="E38" s="193">
        <v>2022</v>
      </c>
    </row>
    <row r="39" spans="1:7" s="184" customFormat="1" ht="12.75">
      <c r="B39" s="103" t="s">
        <v>1</v>
      </c>
      <c r="C39" s="189"/>
      <c r="D39" s="189"/>
      <c r="E39" s="103" t="s">
        <v>1</v>
      </c>
    </row>
    <row r="40" spans="1:7" ht="13.5" customHeight="1">
      <c r="A40" s="109" t="s">
        <v>152</v>
      </c>
      <c r="B40" s="194">
        <f>'Statements of Cash Flows'!B27</f>
        <v>126121</v>
      </c>
      <c r="C40" s="189"/>
      <c r="D40" s="189"/>
      <c r="E40" s="194">
        <f>'Statements of Cash Flows'!B27</f>
        <v>126121</v>
      </c>
      <c r="F40" s="94"/>
      <c r="G40" s="94"/>
    </row>
    <row r="41" spans="1:7" ht="13.5" customHeight="1">
      <c r="A41" s="109" t="s">
        <v>153</v>
      </c>
      <c r="B41" s="84">
        <f>'Statements of Cash Flows'!B30</f>
        <v>-30541</v>
      </c>
      <c r="C41" s="189"/>
      <c r="D41" s="189"/>
      <c r="E41" s="84">
        <f>'Statements of Cash Flows'!B30</f>
        <v>-30541</v>
      </c>
      <c r="G41" s="94"/>
    </row>
    <row r="42" spans="1:7" ht="16.5" customHeight="1" thickBot="1">
      <c r="A42" s="109" t="s">
        <v>151</v>
      </c>
      <c r="B42" s="195">
        <f>SUM(B40:B41)</f>
        <v>95580</v>
      </c>
      <c r="C42" s="189"/>
      <c r="D42" s="189"/>
      <c r="E42" s="195">
        <f>SUM(E40:E41)</f>
        <v>95580</v>
      </c>
      <c r="F42" s="98"/>
      <c r="G42" s="94"/>
    </row>
    <row r="43" spans="1:7" ht="13.5" customHeight="1" thickTop="1">
      <c r="B43" s="95"/>
      <c r="F43" s="186"/>
    </row>
    <row r="44" spans="1:7" ht="13.5" customHeight="1">
      <c r="B44" s="98"/>
      <c r="F44" s="94"/>
    </row>
    <row r="45" spans="1:7" ht="13.5" customHeight="1">
      <c r="B45" s="99"/>
    </row>
    <row r="46" spans="1:7" ht="13.5" customHeight="1">
      <c r="B46" s="98"/>
    </row>
    <row r="47" spans="1:7" ht="13.5" customHeight="1">
      <c r="B47" s="98"/>
    </row>
  </sheetData>
  <mergeCells count="10">
    <mergeCell ref="B11:C11"/>
    <mergeCell ref="E11:F11"/>
    <mergeCell ref="B13:C13"/>
    <mergeCell ref="E13:F13"/>
    <mergeCell ref="A1:F1"/>
    <mergeCell ref="A2:F2"/>
    <mergeCell ref="A3:F3"/>
    <mergeCell ref="A7:F7"/>
    <mergeCell ref="A8:F8"/>
    <mergeCell ref="A9:F9"/>
  </mergeCells>
  <pageMargins left="0.7" right="0.7" top="0.75" bottom="0.7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Income Statement</vt:lpstr>
      <vt:lpstr>Balance Sheet</vt:lpstr>
      <vt:lpstr>Statements of Cash Flows</vt:lpstr>
      <vt:lpstr>Debt Schedule</vt:lpstr>
      <vt:lpstr>Operational Performance</vt:lpstr>
      <vt:lpstr>NON-GAAP Sales</vt:lpstr>
      <vt:lpstr>NON-GAAP COGS</vt:lpstr>
      <vt:lpstr>Reconciliation page</vt:lpstr>
      <vt:lpstr>'NON-GAAP COGS'!OLE_LINK1</vt:lpstr>
      <vt:lpstr>'NON-GAAP Sales'!OLE_LINK1</vt:lpstr>
      <vt:lpstr>'Balance Sheet'!Print_Area</vt:lpstr>
      <vt:lpstr>'Income Statement'!Print_Area</vt:lpstr>
      <vt:lpstr>'Reconciliation page'!Print_Area</vt:lpstr>
      <vt:lpstr>'Statements of Cash Flows'!Print_Area</vt:lpstr>
      <vt:lpstr>'Reconciliation page'!Print_Titles</vt:lpstr>
    </vt:vector>
  </TitlesOfParts>
  <Company>Arch Coal,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Hillebrand, Jackie</dc:creator>
  <cp:lastModifiedBy>DiFatta, Anthony</cp:lastModifiedBy>
  <cp:lastPrinted>2023-04-11T21:42:04Z</cp:lastPrinted>
  <dcterms:created xsi:type="dcterms:W3CDTF">2015-01-20T16:57:13Z</dcterms:created>
  <dcterms:modified xsi:type="dcterms:W3CDTF">2023-04-26T21:07:49Z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{25895303-7DD9-4A50-8B1F-6D61E6D64686}</vt:lpwstr>
  </property>
</Properties>
</file>