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STL-ExternalAffairs\LLB\ER-Conference Call\2020\2Q 2020\"/>
    </mc:Choice>
  </mc:AlternateContent>
  <bookViews>
    <workbookView xWindow="240" yWindow="360" windowWidth="21075" windowHeight="9540" tabRatio="742"/>
  </bookViews>
  <sheets>
    <sheet name="Income Statement" sheetId="1" r:id="rId1"/>
    <sheet name="Balance Sheet" sheetId="2" r:id="rId2"/>
    <sheet name="Statement of Cash Flows" sheetId="4" r:id="rId3"/>
    <sheet name="Debt Schedule" sheetId="5" r:id="rId4"/>
    <sheet name="Operational Performance" sheetId="8" r:id="rId5"/>
    <sheet name="NON-GAAP Sales" sheetId="9" r:id="rId6"/>
    <sheet name="NON-GAAP COGS" sheetId="10" r:id="rId7"/>
    <sheet name="Reconciliation page" sheetId="3" r:id="rId8"/>
  </sheets>
  <definedNames>
    <definedName name="_Order1" hidden="1">0</definedName>
    <definedName name="affdfdafdsfad" hidden="1">{"estimate",#N/A,FALSE,"930EST";"inv",#N/A,FALSE,"930EST";"realization",#N/A,FALSE,"930EST"}</definedName>
    <definedName name="affdfdafdsfad_1" hidden="1">{"estimate",#N/A,FALSE,"930EST";"inv",#N/A,FALSE,"930EST";"realization",#N/A,FALSE,"930EST"}</definedName>
    <definedName name="affdfdafdsfad_2" hidden="1">{"estimate",#N/A,FALSE,"930EST";"inv",#N/A,FALSE,"930EST";"realization",#N/A,FALSE,"930EST"}</definedName>
    <definedName name="dfddadfaf" hidden="1">{"estimate",#N/A,FALSE,"930EST";"inv",#N/A,FALSE,"930EST";"realization",#N/A,FALSE,"930EST"}</definedName>
    <definedName name="dfddadfaf_1" hidden="1">{"estimate",#N/A,FALSE,"930EST";"inv",#N/A,FALSE,"930EST";"realization",#N/A,FALSE,"930EST"}</definedName>
    <definedName name="dfddadfaf_2" hidden="1">{"estimate",#N/A,FALSE,"930EST";"inv",#N/A,FALSE,"930EST";"realization",#N/A,FALSE,"930EST"}</definedName>
    <definedName name="fadfdsafddsffsdad" hidden="1">{"estimate",#N/A,FALSE,"930EST";"inv",#N/A,FALSE,"930EST";"realization",#N/A,FALSE,"930EST"}</definedName>
    <definedName name="fadfdsafddsffsdad_1" hidden="1">{"estimate",#N/A,FALSE,"930EST";"inv",#N/A,FALSE,"930EST";"realization",#N/A,FALSE,"930EST"}</definedName>
    <definedName name="fadfdsafddsffsdad_2" hidden="1">{"estimate",#N/A,FALSE,"930EST";"inv",#N/A,FALSE,"930EST";"realization",#N/A,FALSE,"930EST"}</definedName>
    <definedName name="fafasdfasdfsdaf" hidden="1">{"estimate",#N/A,FALSE,"930EST";"inv",#N/A,FALSE,"930EST";"realization",#N/A,FALSE,"930EST"}</definedName>
    <definedName name="fafasdfasdfsdaf_1" hidden="1">{"estimate",#N/A,FALSE,"930EST";"inv",#N/A,FALSE,"930EST";"realization",#N/A,FALSE,"930EST"}</definedName>
    <definedName name="fafasdfasdfsdaf_2" hidden="1">{"estimate",#N/A,FALSE,"930EST";"inv",#N/A,FALSE,"930EST";"realization",#N/A,FALSE,"930EST"}</definedName>
    <definedName name="fafdfsdfasd" hidden="1">{"estimate",#N/A,FALSE,"930EST";"inv",#N/A,FALSE,"930EST";"realization",#N/A,FALSE,"930EST"}</definedName>
    <definedName name="fafdfsdfasd_1" hidden="1">{"estimate",#N/A,FALSE,"930EST";"inv",#N/A,FALSE,"930EST";"realization",#N/A,FALSE,"930EST"}</definedName>
    <definedName name="fafdfsdfasd_2" hidden="1">{"estimate",#N/A,FALSE,"930EST";"inv",#N/A,FALSE,"930EST";"realization",#N/A,FALSE,"930EST"}</definedName>
    <definedName name="fafdsfdfsdafsdfa" hidden="1">{"estimate",#N/A,FALSE,"930EST";"inv",#N/A,FALSE,"930EST";"realization",#N/A,FALSE,"930EST"}</definedName>
    <definedName name="fafdsfdfsdafsdfa_1" hidden="1">{"estimate",#N/A,FALSE,"930EST";"inv",#N/A,FALSE,"930EST";"realization",#N/A,FALSE,"930EST"}</definedName>
    <definedName name="fafdsfdfsdafsdfa_2" hidden="1">{"estimate",#N/A,FALSE,"930EST";"inv",#N/A,FALSE,"930EST";"realization",#N/A,FALSE,"930EST"}</definedName>
    <definedName name="fasdfdafsdafsdf" hidden="1">{"estimate",#N/A,FALSE,"930EST";"inv",#N/A,FALSE,"930EST";"realization",#N/A,FALSE,"930EST"}</definedName>
    <definedName name="fasdfdafsdafsdf_1" hidden="1">{"estimate",#N/A,FALSE,"930EST";"inv",#N/A,FALSE,"930EST";"realization",#N/A,FALSE,"930EST"}</definedName>
    <definedName name="fasdfdafsdafsdf_2" hidden="1">{"estimate",#N/A,FALSE,"930EST";"inv",#N/A,FALSE,"930EST";"realization",#N/A,FALSE,"930EST"}</definedName>
    <definedName name="fasdfsdsdafsdafsd" hidden="1">{"estimate",#N/A,FALSE,"930EST";"inv",#N/A,FALSE,"930EST";"realization",#N/A,FALSE,"930EST"}</definedName>
    <definedName name="fasdfsdsdafsdafsd_1" hidden="1">{"estimate",#N/A,FALSE,"930EST";"inv",#N/A,FALSE,"930EST";"realization",#N/A,FALSE,"930EST"}</definedName>
    <definedName name="fasdfsdsdafsdafsd_2" hidden="1">{"estimate",#N/A,FALSE,"930EST";"inv",#N/A,FALSE,"930EST";"realization",#N/A,FALSE,"930EST"}</definedName>
    <definedName name="gagfgafgsda" hidden="1">{"estimate",#N/A,FALSE,"930EST";"inv",#N/A,FALSE,"930EST";"realization",#N/A,FALSE,"930EST"}</definedName>
    <definedName name="gagfgafgsda_1" hidden="1">{"estimate",#N/A,FALSE,"930EST";"inv",#N/A,FALSE,"930EST";"realization",#N/A,FALSE,"930EST"}</definedName>
    <definedName name="gagfgafgsda_2" hidden="1">{"estimate",#N/A,FALSE,"930EST";"inv",#N/A,FALSE,"930EST";"realization",#N/A,FALSE,"930EST"}</definedName>
    <definedName name="ggdfgadfsdfa" hidden="1">{"estimate",#N/A,FALSE,"930EST";"inv",#N/A,FALSE,"930EST";"realization",#N/A,FALSE,"930EST"}</definedName>
    <definedName name="ggdfgadfsdfa_1" hidden="1">{"estimate",#N/A,FALSE,"930EST";"inv",#N/A,FALSE,"930EST";"realization",#N/A,FALSE,"930EST"}</definedName>
    <definedName name="ggdfgadfsdfa_2" hidden="1">{"estimate",#N/A,FALSE,"930EST";"inv",#N/A,FALSE,"930EST";"realization",#N/A,FALSE,"930EST"}</definedName>
    <definedName name="gsfsdgdfgsf" hidden="1">{"estimate",#N/A,FALSE,"930EST";"inv",#N/A,FALSE,"930EST";"realization",#N/A,FALSE,"930EST"}</definedName>
    <definedName name="gsfsdgdfgsf_1" hidden="1">{"estimate",#N/A,FALSE,"930EST";"inv",#N/A,FALSE,"930EST";"realization",#N/A,FALSE,"930EST"}</definedName>
    <definedName name="gsfsdgdfgsf_2" hidden="1">{"estimate",#N/A,FALSE,"930EST";"inv",#N/A,FALSE,"930EST";"realization",#N/A,FALSE,"930EST"}</definedName>
    <definedName name="jkjlk" hidden="1">{"estimate",#N/A,FALSE,"930EST";"inv",#N/A,FALSE,"930EST";"realization",#N/A,FALSE,"930EST"}</definedName>
    <definedName name="jkjlk_1" hidden="1">{"estimate",#N/A,FALSE,"930EST";"inv",#N/A,FALSE,"930EST";"realization",#N/A,FALSE,"930EST"}</definedName>
    <definedName name="jkjlk_2" hidden="1">{"estimate",#N/A,FALSE,"930EST";"inv",#N/A,FALSE,"930EST";"realization",#N/A,FALSE,"930EST"}</definedName>
    <definedName name="newmonth">"button1"</definedName>
    <definedName name="OLE_LINK1" localSheetId="6">'NON-GAAP COGS'!$A$7</definedName>
    <definedName name="OLE_LINK1" localSheetId="5">'NON-GAAP Sales'!$A$9</definedName>
    <definedName name="_xlnm.Print_Area" localSheetId="1">'Balance Sheet'!$A$1:$C$52</definedName>
    <definedName name="_xlnm.Print_Area" localSheetId="0">'Income Statement'!$A$1:$F$55</definedName>
    <definedName name="_xlnm.Print_Area" localSheetId="7">'Reconciliation page'!$A$5:$F$39</definedName>
    <definedName name="_xlnm.Print_Area" localSheetId="2">'Statement of Cash Flows'!$A$1:$C$57</definedName>
    <definedName name="_xlnm.Print_Titles" localSheetId="7">'Reconciliation page'!$1:$4</definedName>
    <definedName name="Reporg" hidden="1">{"estimate",#N/A,FALSE,"930EST";"inv",#N/A,FALSE,"930EST";"realization",#N/A,FALSE,"930EST"}</definedName>
    <definedName name="Reporg_1" hidden="1">{"estimate",#N/A,FALSE,"930EST";"inv",#N/A,FALSE,"930EST";"realization",#N/A,FALSE,"930EST"}</definedName>
    <definedName name="Reporg_2" hidden="1">{"estimate",#N/A,FALSE,"930EST";"inv",#N/A,FALSE,"930EST";"realization",#N/A,FALSE,"930EST"}</definedName>
    <definedName name="sdfadssdfas" hidden="1">{"estimate",#N/A,FALSE,"930EST";"inv",#N/A,FALSE,"930EST";"realization",#N/A,FALSE,"930EST"}</definedName>
    <definedName name="sdfadssdfas_1" hidden="1">{"estimate",#N/A,FALSE,"930EST";"inv",#N/A,FALSE,"930EST";"realization",#N/A,FALSE,"930EST"}</definedName>
    <definedName name="sdfadssdfas_2" hidden="1">{"estimate",#N/A,FALSE,"930EST";"inv",#N/A,FALSE,"930EST";"realization",#N/A,FALSE,"930EST"}</definedName>
    <definedName name="sdfassddsfasdfds" hidden="1">{"estimate",#N/A,FALSE,"930EST";"inv",#N/A,FALSE,"930EST";"realization",#N/A,FALSE,"930EST"}</definedName>
    <definedName name="sdfassddsfasdfds_1" hidden="1">{"estimate",#N/A,FALSE,"930EST";"inv",#N/A,FALSE,"930EST";"realization",#N/A,FALSE,"930EST"}</definedName>
    <definedName name="sdfassddsfasdfds_2" hidden="1">{"estimate",#N/A,FALSE,"930EST";"inv",#N/A,FALSE,"930EST";"realization",#N/A,FALSE,"930EST"}</definedName>
    <definedName name="sdfdaasdfsda" hidden="1">{"estimate",#N/A,FALSE,"930EST";"inv",#N/A,FALSE,"930EST";"realization",#N/A,FALSE,"930EST"}</definedName>
    <definedName name="sdfdaasdfsda_1" hidden="1">{"estimate",#N/A,FALSE,"930EST";"inv",#N/A,FALSE,"930EST";"realization",#N/A,FALSE,"930EST"}</definedName>
    <definedName name="sdfdaasdfsda_2" hidden="1">{"estimate",#N/A,FALSE,"930EST";"inv",#N/A,FALSE,"930EST";"realization",#N/A,FALSE,"930EST"}</definedName>
    <definedName name="sdfdsasdfsdasdfasdfd" hidden="1">{"estimate",#N/A,FALSE,"930EST";"inv",#N/A,FALSE,"930EST";"realization",#N/A,FALSE,"930EST"}</definedName>
    <definedName name="sdfdsasdfsdasdfasdfd_1" hidden="1">{"estimate",#N/A,FALSE,"930EST";"inv",#N/A,FALSE,"930EST";"realization",#N/A,FALSE,"930EST"}</definedName>
    <definedName name="sdfdsasdfsdasdfasdfd_2" hidden="1">{"estimate",#N/A,FALSE,"930EST";"inv",#N/A,FALSE,"930EST";"realization",#N/A,FALSE,"930EST"}</definedName>
    <definedName name="sdfgdfgfgsdgdf" hidden="1">{"estimate",#N/A,FALSE,"930EST";"inv",#N/A,FALSE,"930EST";"realization",#N/A,FALSE,"930EST"}</definedName>
    <definedName name="sdfgdfgfgsdgdf_1" hidden="1">{"estimate",#N/A,FALSE,"930EST";"inv",#N/A,FALSE,"930EST";"realization",#N/A,FALSE,"930EST"}</definedName>
    <definedName name="sdfgdfgfgsdgdf_2" hidden="1">{"estimate",#N/A,FALSE,"930EST";"inv",#N/A,FALSE,"930EST";"realization",#N/A,FALSE,"930EST"}</definedName>
    <definedName name="sgfgdfsgdfgsdf" hidden="1">{"estimate",#N/A,FALSE,"930EST";"inv",#N/A,FALSE,"930EST";"realization",#N/A,FALSE,"930EST"}</definedName>
    <definedName name="sgfgdfsgdfgsdf_1" hidden="1">{"estimate",#N/A,FALSE,"930EST";"inv",#N/A,FALSE,"930EST";"realization",#N/A,FALSE,"930EST"}</definedName>
    <definedName name="sgfgdfsgdfgsdf_2" hidden="1">{"estimate",#N/A,FALSE,"930EST";"inv",#N/A,FALSE,"930EST";"realization",#N/A,FALSE,"930EST"}</definedName>
    <definedName name="TableName">"Dummy"</definedName>
    <definedName name="wrn.3._.yr._.reports." hidden="1">{"Sum 3 yr",#N/A,FALSE,"Capex";"Sum 3 yr w qtrs",#N/A,FALSE,"Capex";"Detail 3 yr",#N/A,FALSE,"Capex"}</definedName>
    <definedName name="wrn.3._.yr._.reports._1" hidden="1">{"Sum 3 yr",#N/A,FALSE,"Capex";"Sum 3 yr w qtrs",#N/A,FALSE,"Capex";"Detail 3 yr",#N/A,FALSE,"Capex"}</definedName>
    <definedName name="wrn.3._.yr._.reports._2" hidden="1">{"Sum 3 yr",#N/A,FALSE,"Capex";"Sum 3 yr w qtrs",#N/A,FALSE,"Capex";"Detail 3 yr",#N/A,FALSE,"Capex"}</definedName>
    <definedName name="wrn.Book." hidden="1">{"yearsnew",#N/A,FALSE,"Cash Flow";"monthsnew",#N/A,FALSE,"Cash Flow";"years",#N/A,FALSE,"Summary";"months",#N/A,FALSE,"Summary";"Summary",#N/A,FALSE,"Admin";"Summary",#N/A,FALSE,"Income";"Summary",#N/A,FALSE,"Benham";"Summary",#N/A,FALSE,"Turtle Crk";"Summary",#N/A,FALSE,"D&amp;E Other";"Summary",#N/A,FALSE,"AOI";"Summary",#N/A,FALSE,"AOK";"Summary",#N/A,FALSE,"AOWV";"Summary",#N/A,FALSE,"AOW";"Summary",#N/A,FALSE,"CAT";"Summary",#N/A,FALSE,"CRCC";"Summary",#N/A,FALSE,"LMPI"}</definedName>
    <definedName name="wrn.Book._1" hidden="1">{"yearsnew",#N/A,FALSE,"Cash Flow";"monthsnew",#N/A,FALSE,"Cash Flow";"years",#N/A,FALSE,"Summary";"months",#N/A,FALSE,"Summary";"Summary",#N/A,FALSE,"Admin";"Summary",#N/A,FALSE,"Income";"Summary",#N/A,FALSE,"Benham";"Summary",#N/A,FALSE,"Turtle Crk";"Summary",#N/A,FALSE,"D&amp;E Other";"Summary",#N/A,FALSE,"AOI";"Summary",#N/A,FALSE,"AOK";"Summary",#N/A,FALSE,"AOWV";"Summary",#N/A,FALSE,"AOW";"Summary",#N/A,FALSE,"CAT";"Summary",#N/A,FALSE,"CRCC";"Summary",#N/A,FALSE,"LMPI"}</definedName>
    <definedName name="wrn.Book._2" hidden="1">{"yearsnew",#N/A,FALSE,"Cash Flow";"monthsnew",#N/A,FALSE,"Cash Flow";"years",#N/A,FALSE,"Summary";"months",#N/A,FALSE,"Summary";"Summary",#N/A,FALSE,"Admin";"Summary",#N/A,FALSE,"Income";"Summary",#N/A,FALSE,"Benham";"Summary",#N/A,FALSE,"Turtle Crk";"Summary",#N/A,FALSE,"D&amp;E Other";"Summary",#N/A,FALSE,"AOI";"Summary",#N/A,FALSE,"AOK";"Summary",#N/A,FALSE,"AOWV";"Summary",#N/A,FALSE,"AOW";"Summary",#N/A,FALSE,"CAT";"Summary",#N/A,FALSE,"CRCC";"Summary",#N/A,FALSE,"LMPI"}</definedName>
    <definedName name="wrn.INSURANC." hidden="1">{#N/A,#N/A,FALSE,"PREPAID INS";#N/A,#N/A,FALSE,"EXCESS LIAB ALLOC";#N/A,#N/A,FALSE,"GENERAL LIAB ALLOC";#N/A,#N/A,FALSE,"AUTO LIAB ALLOC";#N/A,#N/A,FALSE,"ALL RISK ALLOC";#N/A,#N/A,FALSE,"BUS INTERRUPTION ALLOC";#N/A,#N/A,FALSE,"JOURNAL ENTRIES"}</definedName>
    <definedName name="wrn.INSURANC._1" hidden="1">{#N/A,#N/A,FALSE,"PREPAID INS";#N/A,#N/A,FALSE,"EXCESS LIAB ALLOC";#N/A,#N/A,FALSE,"GENERAL LIAB ALLOC";#N/A,#N/A,FALSE,"AUTO LIAB ALLOC";#N/A,#N/A,FALSE,"ALL RISK ALLOC";#N/A,#N/A,FALSE,"BUS INTERRUPTION ALLOC";#N/A,#N/A,FALSE,"JOURNAL ENTRIES"}</definedName>
    <definedName name="wrn.INSURANC._2" hidden="1">{#N/A,#N/A,FALSE,"PREPAID INS";#N/A,#N/A,FALSE,"EXCESS LIAB ALLOC";#N/A,#N/A,FALSE,"GENERAL LIAB ALLOC";#N/A,#N/A,FALSE,"AUTO LIAB ALLOC";#N/A,#N/A,FALSE,"ALL RISK ALLOC";#N/A,#N/A,FALSE,"BUS INTERRUPTION ALLOC";#N/A,#N/A,FALSE,"JOURNAL ENTRIES"}</definedName>
    <definedName name="wrn.print._.all._.reports." hidden="1">{"sum five year",#N/A,FALSE,"Capex";"sum all",#N/A,FALSE,"Capex";"detail",#N/A,FALSE,"Capex"}</definedName>
    <definedName name="wrn.print._.all._.reports._1" hidden="1">{"sum five year",#N/A,FALSE,"Capex";"sum all",#N/A,FALSE,"Capex";"detail",#N/A,FALSE,"Capex"}</definedName>
    <definedName name="wrn.print._.all._.reports._2" hidden="1">{"sum five year",#N/A,FALSE,"Capex";"sum all",#N/A,FALSE,"Capex";"detail",#N/A,FALSE,"Capex"}</definedName>
    <definedName name="wrn.Report." hidden="1">{"estimate",#N/A,FALSE,"930EST";"inv",#N/A,FALSE,"930EST";"realization",#N/A,FALSE,"930EST"}</definedName>
    <definedName name="wrn.Report._1" hidden="1">{"estimate",#N/A,FALSE,"930EST";"inv",#N/A,FALSE,"930EST";"realization",#N/A,FALSE,"930EST"}</definedName>
    <definedName name="wrn.Report._2" hidden="1">{"estimate",#N/A,FALSE,"930EST";"inv",#N/A,FALSE,"930EST";"realization",#N/A,FALSE,"930EST"}</definedName>
    <definedName name="wrn.UMWA._.ACCRUAL." hidden="1">{#N/A,#N/A,FALSE,"VACATION";#N/A,#N/A,FALSE,"CONTRACT AMORT";#N/A,#N/A,FALSE,"POSTRETIREMENT";#N/A,#N/A,FALSE,"COMPENSATED ABSENCE";#N/A,#N/A,FALSE,"BLACK LUNG RESERVE";#N/A,#N/A,FALSE,"JOURNAL ENTRIES"}</definedName>
    <definedName name="wrn.UMWA._.ACCRUAL._1" hidden="1">{#N/A,#N/A,FALSE,"VACATION";#N/A,#N/A,FALSE,"CONTRACT AMORT";#N/A,#N/A,FALSE,"POSTRETIREMENT";#N/A,#N/A,FALSE,"COMPENSATED ABSENCE";#N/A,#N/A,FALSE,"BLACK LUNG RESERVE";#N/A,#N/A,FALSE,"JOURNAL ENTRIES"}</definedName>
    <definedName name="wrn.UMWA._.ACCRUAL._2" hidden="1">{#N/A,#N/A,FALSE,"VACATION";#N/A,#N/A,FALSE,"CONTRACT AMORT";#N/A,#N/A,FALSE,"POSTRETIREMENT";#N/A,#N/A,FALSE,"COMPENSATED ABSENCE";#N/A,#N/A,FALSE,"BLACK LUNG RESERVE";#N/A,#N/A,FALSE,"JOURNAL ENTRIES"}</definedName>
  </definedNames>
  <calcPr calcId="162913"/>
</workbook>
</file>

<file path=xl/calcChain.xml><?xml version="1.0" encoding="utf-8"?>
<calcChain xmlns="http://schemas.openxmlformats.org/spreadsheetml/2006/main">
  <c r="E11" i="10" l="1"/>
  <c r="D11" i="10"/>
  <c r="C11" i="10"/>
  <c r="B11" i="10"/>
  <c r="F17" i="10"/>
  <c r="F16" i="10"/>
  <c r="F15" i="10"/>
  <c r="F14" i="10"/>
  <c r="F11" i="10"/>
  <c r="F18" i="9"/>
  <c r="F16" i="9"/>
  <c r="F17" i="9"/>
  <c r="F15" i="9"/>
  <c r="E13" i="9"/>
  <c r="D13" i="9"/>
  <c r="C13" i="9"/>
  <c r="B13" i="9"/>
  <c r="F13" i="9" s="1"/>
  <c r="F21" i="3" l="1"/>
  <c r="F22" i="3"/>
  <c r="F14" i="1" l="1"/>
  <c r="C14" i="1"/>
  <c r="B29" i="3" l="1"/>
  <c r="B22" i="1" l="1"/>
  <c r="B23" i="4"/>
  <c r="B42" i="2" l="1"/>
  <c r="B26" i="2"/>
  <c r="F61" i="2" l="1"/>
  <c r="F62" i="2"/>
  <c r="E29" i="3" l="1"/>
  <c r="B27" i="3"/>
  <c r="E27" i="3"/>
  <c r="B36" i="3"/>
  <c r="E36" i="3"/>
  <c r="B24" i="4" l="1"/>
  <c r="E22" i="1"/>
  <c r="C24" i="4" l="1"/>
  <c r="B16" i="4"/>
  <c r="F29" i="4" l="1"/>
  <c r="F30" i="4"/>
  <c r="F31" i="4"/>
  <c r="F32" i="4"/>
  <c r="F33" i="4"/>
  <c r="F34" i="4"/>
  <c r="C27" i="8" l="1"/>
  <c r="E22" i="3" l="1"/>
  <c r="C22" i="3" l="1"/>
  <c r="B22" i="3"/>
  <c r="B35" i="3"/>
  <c r="E35" i="3"/>
  <c r="B18" i="10" l="1"/>
  <c r="C18" i="10"/>
  <c r="D18" i="10"/>
  <c r="B32" i="2" l="1"/>
  <c r="B19" i="2"/>
  <c r="I21" i="1" l="1"/>
  <c r="F29" i="3" l="1"/>
  <c r="F39" i="4" l="1"/>
  <c r="C27" i="3" l="1"/>
  <c r="F28" i="3" l="1"/>
  <c r="I19" i="1" l="1"/>
  <c r="I20" i="1"/>
  <c r="F24" i="10" l="1"/>
  <c r="F26" i="10"/>
  <c r="B27" i="10"/>
  <c r="B30" i="10" s="1"/>
  <c r="C27" i="10"/>
  <c r="F27" i="10" s="1"/>
  <c r="D27" i="10"/>
  <c r="E27" i="10"/>
  <c r="F28" i="10"/>
  <c r="F29" i="10"/>
  <c r="D30" i="10"/>
  <c r="E30" i="10"/>
  <c r="B31" i="10"/>
  <c r="C31" i="10"/>
  <c r="D31" i="10"/>
  <c r="D32" i="10"/>
  <c r="B32" i="10" l="1"/>
  <c r="F30" i="10"/>
  <c r="C30" i="10"/>
  <c r="C32" i="10" s="1"/>
  <c r="E30" i="9" l="1"/>
  <c r="D30" i="9"/>
  <c r="D32" i="9" s="1"/>
  <c r="C30" i="9"/>
  <c r="C32" i="9" s="1"/>
  <c r="B30" i="9"/>
  <c r="B32" i="9" s="1"/>
  <c r="F29" i="9"/>
  <c r="F28" i="9"/>
  <c r="F27" i="9"/>
  <c r="F25" i="9"/>
  <c r="F30" i="9" s="1"/>
  <c r="E42" i="9"/>
  <c r="D42" i="9"/>
  <c r="D44" i="9" s="1"/>
  <c r="C42" i="9"/>
  <c r="C44" i="9" s="1"/>
  <c r="B42" i="9"/>
  <c r="B44" i="9" s="1"/>
  <c r="F41" i="9"/>
  <c r="F40" i="9"/>
  <c r="F39" i="9"/>
  <c r="F37" i="9"/>
  <c r="F42" i="9" s="1"/>
  <c r="D27" i="8"/>
  <c r="E26" i="8"/>
  <c r="E25" i="8"/>
  <c r="E27" i="8" s="1"/>
  <c r="D20" i="8"/>
  <c r="E19" i="8"/>
  <c r="E18" i="8"/>
  <c r="E20" i="8" s="1"/>
  <c r="D13" i="8"/>
  <c r="D29" i="8" s="1"/>
  <c r="D34" i="8" s="1"/>
  <c r="E12" i="8"/>
  <c r="E11" i="8"/>
  <c r="E13" i="8" s="1"/>
  <c r="F32" i="8"/>
  <c r="F29" i="8"/>
  <c r="F34" i="8" s="1"/>
  <c r="G27" i="8"/>
  <c r="F27" i="8"/>
  <c r="G26" i="8"/>
  <c r="G25" i="8"/>
  <c r="G20" i="8"/>
  <c r="F20" i="8"/>
  <c r="G19" i="8"/>
  <c r="G18" i="8"/>
  <c r="G13" i="8"/>
  <c r="F13" i="8"/>
  <c r="G12" i="8"/>
  <c r="G11" i="8"/>
  <c r="B46" i="4"/>
  <c r="E57" i="4"/>
  <c r="B13" i="4" l="1"/>
  <c r="B12" i="4"/>
  <c r="C23" i="4"/>
  <c r="C22" i="4"/>
  <c r="C13" i="4"/>
  <c r="C12" i="4"/>
  <c r="E21" i="3"/>
  <c r="H37" i="1"/>
  <c r="H30" i="1"/>
  <c r="H22" i="1"/>
  <c r="H23" i="1" s="1"/>
  <c r="H25" i="1" s="1"/>
  <c r="H32" i="1" l="1"/>
  <c r="H39" i="1" s="1"/>
  <c r="H42" i="1" s="1"/>
  <c r="B35" i="4"/>
  <c r="C35" i="4"/>
  <c r="B14" i="10" l="1"/>
  <c r="B19" i="10" s="1"/>
  <c r="B21" i="3" l="1"/>
  <c r="C21" i="3"/>
  <c r="D12" i="5" l="1"/>
  <c r="D14" i="5" s="1"/>
  <c r="C42" i="2"/>
  <c r="C35" i="2"/>
  <c r="C43" i="2" s="1"/>
  <c r="C33" i="2"/>
  <c r="C32" i="2"/>
  <c r="C26" i="2"/>
  <c r="C19" i="2"/>
  <c r="B20" i="3" l="1"/>
  <c r="C20" i="3"/>
  <c r="E20" i="3"/>
  <c r="F20" i="3"/>
  <c r="F44" i="4" l="1"/>
  <c r="B35" i="2" l="1"/>
  <c r="F38" i="3" l="1"/>
  <c r="E38" i="3"/>
  <c r="C38" i="3"/>
  <c r="B38" i="3"/>
  <c r="E28" i="3"/>
  <c r="C28" i="3"/>
  <c r="B28" i="3"/>
  <c r="F18" i="4" l="1"/>
  <c r="C14" i="10" l="1"/>
  <c r="C19" i="10" s="1"/>
  <c r="D14" i="10"/>
  <c r="D19" i="10" s="1"/>
  <c r="E14" i="10"/>
  <c r="B37" i="1" l="1"/>
  <c r="C40" i="10" l="1"/>
  <c r="D40" i="10"/>
  <c r="E40" i="10"/>
  <c r="B40" i="10"/>
  <c r="I18" i="1" l="1"/>
  <c r="B19" i="3" l="1"/>
  <c r="C19" i="3"/>
  <c r="E19" i="3"/>
  <c r="F19" i="3"/>
  <c r="C26" i="8" l="1"/>
  <c r="C25" i="8"/>
  <c r="C19" i="8"/>
  <c r="C18" i="8"/>
  <c r="C12" i="8"/>
  <c r="C11" i="8"/>
  <c r="C20" i="8" l="1"/>
  <c r="C13" i="8"/>
  <c r="B20" i="8"/>
  <c r="I38" i="1" l="1"/>
  <c r="I40" i="1"/>
  <c r="I41" i="1"/>
  <c r="I14" i="1" l="1"/>
  <c r="I15" i="1"/>
  <c r="I16" i="1"/>
  <c r="I17" i="1"/>
  <c r="I28" i="1"/>
  <c r="I29" i="1"/>
  <c r="I35" i="1"/>
  <c r="I36" i="1"/>
  <c r="I10" i="1"/>
  <c r="I22" i="1"/>
  <c r="I13" i="1"/>
  <c r="C44" i="10" l="1"/>
  <c r="D44" i="10"/>
  <c r="B44" i="10"/>
  <c r="F45" i="4" l="1"/>
  <c r="F43" i="4"/>
  <c r="F42" i="4"/>
  <c r="F41" i="4"/>
  <c r="F40" i="4"/>
  <c r="F38" i="4"/>
  <c r="F28" i="4"/>
  <c r="F24" i="4"/>
  <c r="F23" i="4"/>
  <c r="F22" i="4"/>
  <c r="F21" i="4"/>
  <c r="F20" i="4"/>
  <c r="F14" i="4"/>
  <c r="F15" i="4"/>
  <c r="F16" i="4"/>
  <c r="F17" i="4"/>
  <c r="F57" i="4"/>
  <c r="E46" i="4"/>
  <c r="E35" i="4"/>
  <c r="E25" i="4"/>
  <c r="F46" i="4" l="1"/>
  <c r="F35" i="4"/>
  <c r="E48" i="4"/>
  <c r="E51" i="4" s="1"/>
  <c r="F13" i="4"/>
  <c r="F12" i="4"/>
  <c r="F24" i="3" l="1"/>
  <c r="E24" i="3"/>
  <c r="F23" i="3"/>
  <c r="E23" i="3"/>
  <c r="F18" i="3"/>
  <c r="E18" i="3"/>
  <c r="F17" i="3"/>
  <c r="E17" i="3"/>
  <c r="F15" i="3"/>
  <c r="E15" i="3"/>
  <c r="E37" i="1" l="1"/>
  <c r="I37" i="1" s="1"/>
  <c r="F37" i="1"/>
  <c r="F30" i="1"/>
  <c r="F16" i="3" s="1"/>
  <c r="E30" i="1"/>
  <c r="I30" i="1" s="1"/>
  <c r="F23" i="1"/>
  <c r="F25" i="1" s="1"/>
  <c r="E23" i="1"/>
  <c r="I23" i="1" s="1"/>
  <c r="E16" i="3" l="1"/>
  <c r="E25" i="1"/>
  <c r="F32" i="1"/>
  <c r="F39" i="1" s="1"/>
  <c r="F42" i="1" s="1"/>
  <c r="C10" i="4" s="1"/>
  <c r="I25" i="1" l="1"/>
  <c r="E32" i="1"/>
  <c r="F46" i="1"/>
  <c r="F14" i="3"/>
  <c r="F45" i="1"/>
  <c r="I32" i="1" l="1"/>
  <c r="E39" i="1"/>
  <c r="I39" i="1" s="1"/>
  <c r="F26" i="3"/>
  <c r="F54" i="1" l="1"/>
  <c r="F31" i="3"/>
  <c r="E42" i="1"/>
  <c r="B10" i="4" l="1"/>
  <c r="F56" i="2"/>
  <c r="I42" i="1"/>
  <c r="E14" i="3"/>
  <c r="E45" i="1"/>
  <c r="E46" i="1"/>
  <c r="B23" i="3"/>
  <c r="E26" i="3" l="1"/>
  <c r="E54" i="1" s="1"/>
  <c r="E43" i="10"/>
  <c r="D43" i="10"/>
  <c r="D45" i="10" s="1"/>
  <c r="C43" i="10"/>
  <c r="C45" i="10" s="1"/>
  <c r="B43" i="10"/>
  <c r="B45" i="10" s="1"/>
  <c r="F42" i="10"/>
  <c r="F41" i="10"/>
  <c r="F40" i="10"/>
  <c r="F39" i="10"/>
  <c r="F37" i="10"/>
  <c r="F43" i="10" l="1"/>
  <c r="A35" i="10" l="1"/>
  <c r="A22" i="10"/>
  <c r="A9" i="10"/>
  <c r="B54" i="4" l="1"/>
  <c r="C23" i="3" l="1"/>
  <c r="B57" i="4"/>
  <c r="C57" i="4"/>
  <c r="C37" i="1"/>
  <c r="C24" i="3" l="1"/>
  <c r="B24" i="3"/>
  <c r="C18" i="3"/>
  <c r="B18" i="3"/>
  <c r="C17" i="3"/>
  <c r="B17" i="3"/>
  <c r="C15" i="3"/>
  <c r="B15" i="3"/>
  <c r="B27" i="8"/>
  <c r="B13" i="8"/>
  <c r="D20" i="5"/>
  <c r="C20" i="5"/>
  <c r="D19" i="5"/>
  <c r="C19" i="5"/>
  <c r="D17" i="5"/>
  <c r="C12" i="5"/>
  <c r="C14" i="5" s="1"/>
  <c r="C46" i="4"/>
  <c r="F57" i="2"/>
  <c r="F59" i="2" s="1"/>
  <c r="F55" i="2"/>
  <c r="C51" i="2"/>
  <c r="B51" i="2"/>
  <c r="B43" i="2"/>
  <c r="C27" i="2"/>
  <c r="B27" i="2"/>
  <c r="C20" i="2"/>
  <c r="B20" i="2"/>
  <c r="C30" i="1"/>
  <c r="C16" i="3" s="1"/>
  <c r="B30" i="1"/>
  <c r="B16" i="3" s="1"/>
  <c r="C23" i="1"/>
  <c r="C25" i="1" s="1"/>
  <c r="B23" i="1"/>
  <c r="B25" i="1" s="1"/>
  <c r="D21" i="5" l="1"/>
  <c r="C28" i="2"/>
  <c r="B32" i="1"/>
  <c r="C32" i="1"/>
  <c r="C39" i="1" s="1"/>
  <c r="C42" i="1" s="1"/>
  <c r="C21" i="5"/>
  <c r="D22" i="5"/>
  <c r="B52" i="2"/>
  <c r="B28" i="2"/>
  <c r="C52" i="2"/>
  <c r="B29" i="8"/>
  <c r="B34" i="8" s="1"/>
  <c r="C17" i="5"/>
  <c r="C22" i="5" s="1"/>
  <c r="B39" i="1" l="1"/>
  <c r="B42" i="1" s="1"/>
  <c r="F10" i="4"/>
  <c r="F25" i="4" s="1"/>
  <c r="C46" i="1"/>
  <c r="C25" i="4"/>
  <c r="C14" i="3"/>
  <c r="C45" i="1"/>
  <c r="B46" i="1" l="1"/>
  <c r="B14" i="3"/>
  <c r="B26" i="3" s="1"/>
  <c r="B45" i="1"/>
  <c r="F48" i="4"/>
  <c r="F51" i="4" s="1"/>
  <c r="B25" i="4"/>
  <c r="C48" i="4"/>
  <c r="C51" i="4" s="1"/>
  <c r="C26" i="3"/>
  <c r="B48" i="4" l="1"/>
  <c r="B51" i="4" s="1"/>
  <c r="C54" i="1"/>
  <c r="C31" i="3"/>
  <c r="B54" i="1"/>
  <c r="B31" i="3"/>
  <c r="E31" i="3"/>
</calcChain>
</file>

<file path=xl/sharedStrings.xml><?xml version="1.0" encoding="utf-8"?>
<sst xmlns="http://schemas.openxmlformats.org/spreadsheetml/2006/main" count="320" uniqueCount="187">
  <si>
    <t>(In thousands, except per share data)</t>
  </si>
  <si>
    <t>(Unaudited)</t>
  </si>
  <si>
    <t>Revenues</t>
  </si>
  <si>
    <t>Costs, expenses and other operating</t>
  </si>
  <si>
    <t>Depreciation, depletion and amortization</t>
  </si>
  <si>
    <t>Change in fair value of coal derivatives and coal trading activities, net</t>
  </si>
  <si>
    <t>Selling, general and administrative expenses</t>
  </si>
  <si>
    <t>Interest expense, net</t>
  </si>
  <si>
    <t>Interest expense</t>
  </si>
  <si>
    <t>Interest and investment income</t>
  </si>
  <si>
    <t>Diluted weighted average shares outstanding</t>
  </si>
  <si>
    <t>Condensed Consolidated Balance Sheets</t>
  </si>
  <si>
    <t>(In thousands)</t>
  </si>
  <si>
    <t>Assets</t>
  </si>
  <si>
    <t>Current assets</t>
  </si>
  <si>
    <t>Cash and cash equivalents</t>
  </si>
  <si>
    <t>Short term investments</t>
  </si>
  <si>
    <t>Trade accounts receivable</t>
  </si>
  <si>
    <t>Other receivables</t>
  </si>
  <si>
    <t>Inventories</t>
  </si>
  <si>
    <t>Prepaid royalties</t>
  </si>
  <si>
    <t>Coal derivative assets</t>
  </si>
  <si>
    <t>Deferred income taxes</t>
  </si>
  <si>
    <t>Other current assets</t>
  </si>
  <si>
    <t>Total current assets</t>
  </si>
  <si>
    <t>Property, plant and equipment, net</t>
  </si>
  <si>
    <t>Other assets</t>
  </si>
  <si>
    <t>Equity investments</t>
  </si>
  <si>
    <t>Other noncurrent assets</t>
  </si>
  <si>
    <t>Total other assets</t>
  </si>
  <si>
    <t>Total assets</t>
  </si>
  <si>
    <t>Accounts payable</t>
  </si>
  <si>
    <t>Accrued expenses and other current liabilities</t>
  </si>
  <si>
    <t>Current maturities of debt</t>
  </si>
  <si>
    <t>Total current liabilities</t>
  </si>
  <si>
    <t>Long-term debt</t>
  </si>
  <si>
    <t>Asset retirement obligations</t>
  </si>
  <si>
    <t>Accrued pension benefits</t>
  </si>
  <si>
    <t>Accrued postretirement benefits other than pension</t>
  </si>
  <si>
    <t>Accrued workers’ compensation</t>
  </si>
  <si>
    <t>Other noncurrent liabilities</t>
  </si>
  <si>
    <t>Common Stock</t>
  </si>
  <si>
    <t>Paid-in capital</t>
  </si>
  <si>
    <t>Reconciliation of Non-GAAP Measures</t>
  </si>
  <si>
    <t>Other</t>
  </si>
  <si>
    <t>Dividends paid</t>
  </si>
  <si>
    <t>Debt financing costs</t>
  </si>
  <si>
    <t>Investments in and advances to affiliates, net</t>
  </si>
  <si>
    <t>Capital expenditures</t>
  </si>
  <si>
    <t>Investing activities</t>
  </si>
  <si>
    <t>Accounts payable, accrued expenses and other current liabilities</t>
  </si>
  <si>
    <t>Receivables</t>
  </si>
  <si>
    <t>Changes in:</t>
  </si>
  <si>
    <t>Amortization relating to financing activities</t>
  </si>
  <si>
    <t>Employee stock-based compensation expense</t>
  </si>
  <si>
    <t>Operating activities</t>
  </si>
  <si>
    <t>Condensed Consolidated Statements of Cash Flows</t>
  </si>
  <si>
    <t xml:space="preserve">December 31, </t>
  </si>
  <si>
    <t>Schedule of Consolidated Debt</t>
  </si>
  <si>
    <t>December 31,</t>
  </si>
  <si>
    <t>Less: current maturities of debt</t>
  </si>
  <si>
    <t>Calculation of net debt</t>
  </si>
  <si>
    <t>Less liquid assets:</t>
  </si>
  <si>
    <t>Net debt</t>
  </si>
  <si>
    <t>Reorganization items, net</t>
  </si>
  <si>
    <t>Debt issuance costs</t>
  </si>
  <si>
    <t>Total debt (excluding debt issuance costs)</t>
  </si>
  <si>
    <t xml:space="preserve">Total liabilities </t>
  </si>
  <si>
    <t>Minimum royalty payments</t>
  </si>
  <si>
    <t>Accretion on asset retirement obligations</t>
  </si>
  <si>
    <t>Basic weighted average shares outstanding</t>
  </si>
  <si>
    <t>Operational Performance</t>
  </si>
  <si>
    <t>(In millions, except per ton data)</t>
  </si>
  <si>
    <t>Powder River Basin</t>
  </si>
  <si>
    <t>Tons Sold</t>
  </si>
  <si>
    <t>Segment Cash Margin</t>
  </si>
  <si>
    <t>Metallurgical</t>
  </si>
  <si>
    <t>Other Thermal</t>
  </si>
  <si>
    <t>Total Segment Cash Margin</t>
  </si>
  <si>
    <t xml:space="preserve">Stockholders' equity </t>
  </si>
  <si>
    <t xml:space="preserve">Liabilities and Stockholders' Equity </t>
  </si>
  <si>
    <t>Income taxes, net</t>
  </si>
  <si>
    <t xml:space="preserve">Total stockholders’ equity </t>
  </si>
  <si>
    <t xml:space="preserve">Total liabilities and stockholders’ equity </t>
  </si>
  <si>
    <t>Retained earnings</t>
  </si>
  <si>
    <t>Treasury stock, at cost</t>
  </si>
  <si>
    <t>Purchases of treasury stock</t>
  </si>
  <si>
    <t>Weighted average shares outstanding</t>
  </si>
  <si>
    <t>Dividends declared per common share</t>
  </si>
  <si>
    <t>Beg RE</t>
  </si>
  <si>
    <t>CY Net Income</t>
  </si>
  <si>
    <t xml:space="preserve">Dividends </t>
  </si>
  <si>
    <t>Dividends accrued (RSU's)</t>
  </si>
  <si>
    <t xml:space="preserve">Basic EPS </t>
  </si>
  <si>
    <t xml:space="preserve">Diluted EPS </t>
  </si>
  <si>
    <t>Reconciliation of NON-GAAP Measures</t>
  </si>
  <si>
    <t>Idle and Other</t>
  </si>
  <si>
    <t>Consolidated</t>
  </si>
  <si>
    <t>Coal sales revenues from idled or otherwise disposed operations not included in segments</t>
  </si>
  <si>
    <t>Transportation costs</t>
  </si>
  <si>
    <t>Non-GAAP Segment coal sales revenues</t>
  </si>
  <si>
    <t>Tons sold</t>
  </si>
  <si>
    <t>Coal sales per ton sold</t>
  </si>
  <si>
    <t>Diesel fuel risk management derivative settlements classified in "other income"</t>
  </si>
  <si>
    <t>Cost of coal sales from idled or otherwise disposed operations not included in segments</t>
  </si>
  <si>
    <t>Other (operating overhead, certain actuarial, etc.)</t>
  </si>
  <si>
    <t>Non-GAAP Segment cash cost of coal sales</t>
  </si>
  <si>
    <t>Cash cost per ton sold</t>
  </si>
  <si>
    <t xml:space="preserve">Non-GAAP Segment coal sales per ton sold   </t>
  </si>
  <si>
    <t>Non-GAAP Segment cash cost per ton sold</t>
  </si>
  <si>
    <t>Restricted cash</t>
  </si>
  <si>
    <t>Payments on term loan due 2024</t>
  </si>
  <si>
    <t>Non-service related pension and postretirement benefit costs</t>
  </si>
  <si>
    <t>Cash and cash equivalents, including restricted cash, end of period</t>
  </si>
  <si>
    <t>Adjusted EBITDA</t>
  </si>
  <si>
    <t>Proceeds from disposals and divestitures</t>
  </si>
  <si>
    <t xml:space="preserve">Three Months </t>
  </si>
  <si>
    <t>(A) Adjusted EBITDA is defined and reconciled under "Reconciliation of Non-GAAP Measures" later in this release.</t>
  </si>
  <si>
    <t>Short-term investments</t>
  </si>
  <si>
    <t>Provision for (benefit from) income taxes</t>
  </si>
  <si>
    <t>Nonoperating (expenses) income</t>
  </si>
  <si>
    <t>Cash used in investing activities</t>
  </si>
  <si>
    <t>Costs related to proposed joint venture with Peabody Energy</t>
  </si>
  <si>
    <t xml:space="preserve">Adjusted EBITDA (A) </t>
  </si>
  <si>
    <t>Cash and cash equivalents, beginning of period</t>
  </si>
  <si>
    <t>Cash and cash equivalents, end of period</t>
  </si>
  <si>
    <t>Cost of sales (exclusive of items shown separately below)</t>
  </si>
  <si>
    <t>(In thousands, except per ton data)</t>
  </si>
  <si>
    <t>EBITDA from idled or otherwise disposed operations</t>
  </si>
  <si>
    <t>Segment Adjusted EBITDA from coal operations</t>
  </si>
  <si>
    <t xml:space="preserve">Segment Adjusted EBITDA </t>
  </si>
  <si>
    <t>Total Segment Adjusted EBITDA</t>
  </si>
  <si>
    <t>Income (loss) before income taxes</t>
  </si>
  <si>
    <t>Net income (loss)</t>
  </si>
  <si>
    <t>Net income (loss) per common share</t>
  </si>
  <si>
    <t>Income (loss) before nonoperating expenses</t>
  </si>
  <si>
    <t>Payments for taxes related to net share settlement of equity awards</t>
  </si>
  <si>
    <t>Income (loss) from operations</t>
  </si>
  <si>
    <t>Decrease in cash and cash equivalents</t>
  </si>
  <si>
    <t>Condensed Consolidated Statements of Operations</t>
  </si>
  <si>
    <t>Quarter ended March 31, 2020</t>
  </si>
  <si>
    <t>Other operating income, net</t>
  </si>
  <si>
    <t>Severance costs related to voluntary separation plan</t>
  </si>
  <si>
    <t>Cash provided by (used in) financing activities</t>
  </si>
  <si>
    <t>Three Months</t>
  </si>
  <si>
    <t>Ended March 31, 2020</t>
  </si>
  <si>
    <t>Ended June 30, 2020</t>
  </si>
  <si>
    <t>Gain on property insurance recovery related to Mountain Laurel longwall</t>
  </si>
  <si>
    <t>Accumulated other comprehensive income (loss)</t>
  </si>
  <si>
    <t>Adjustments to reconcile to cash from operating activities:</t>
  </si>
  <si>
    <t>Proceeds from equipment financing</t>
  </si>
  <si>
    <t>Net payments on other debt</t>
  </si>
  <si>
    <t>Arch Resources, Inc. and Subsidiaries</t>
  </si>
  <si>
    <t>Three Months Ended June 30,</t>
  </si>
  <si>
    <t xml:space="preserve">Six Months Ended June 30, </t>
  </si>
  <si>
    <t>3/31/2020 YTD</t>
  </si>
  <si>
    <t>Six Months Ended June 30,</t>
  </si>
  <si>
    <t xml:space="preserve">June 30, </t>
  </si>
  <si>
    <t>June 30,</t>
  </si>
  <si>
    <t>Quarter ended June 30, 2019</t>
  </si>
  <si>
    <t>Quarter ended June 30, 2020</t>
  </si>
  <si>
    <t>Current 3M Calc</t>
  </si>
  <si>
    <t>Three Months Ended           June 30, 2020</t>
  </si>
  <si>
    <t>Three Months Ended           March 31, 2020</t>
  </si>
  <si>
    <t>Three Months Ended           June 30, 2019</t>
  </si>
  <si>
    <t>Term loan due 2024 ($290.3 million face value)</t>
  </si>
  <si>
    <t>Gain on disposals and divestitures</t>
  </si>
  <si>
    <t>Cash provided by operating activities</t>
  </si>
  <si>
    <t>Financing activities</t>
  </si>
  <si>
    <t>Current liabilities</t>
  </si>
  <si>
    <t>(Gain) loss on divestitures</t>
  </si>
  <si>
    <t>Proceeds from property insurance recovery related to Mountain Laurel longwall</t>
  </si>
  <si>
    <t>Proceeds from sales of short-term investments</t>
  </si>
  <si>
    <t>Purchases of short-term investments</t>
  </si>
  <si>
    <t>GAAP Revenues in the Consolidated Statement of Operations</t>
  </si>
  <si>
    <t>GAAP Cost of sales in the Consolidated Statement of Operations</t>
  </si>
  <si>
    <t xml:space="preserve">Less: Adjustments to reconcile to Non-GAAP Segment cash cost of coal sales </t>
  </si>
  <si>
    <t>Less: Adjustments to reconcile to Non-GAAP Segment coal sales revenue</t>
  </si>
  <si>
    <t>Coal risk management derivative settlements classified in 
"other income"</t>
  </si>
  <si>
    <t>Included in the accompanying release, we have disclosed certain non-GAAP measures as defined by Regulation G.
The following reconciles these items to the most directly comparable GAAP measure.</t>
  </si>
  <si>
    <t>Non-GAAP Segment coal sales per ton sold is calculated as segment coal sales revenues divided by segment tons sold. Segment coal sales revenues are adjusted for transportation costs, and may be adjusted for other items that, due to generally accepted accounting principles, are classified in “other income” on the consolidated  statement of operations, but relate to price protection on the sale of coal. Segment coal sales per ton sold is not a measure of financial performance in accordance with generally accepted accounting principles. We believe segment coal sales per ton sold provides useful information to investors as it better reflects our revenue for the quality of coal sold and our operating results by including all income from coal sales. The adjustments made to arrive at these measures are significant in understanding and assessing our financial condition. Therefore, segment coal sales revenues should not be considered in isolation, nor as an alternative to coal sales revenues under generally accepted accounting principles.</t>
  </si>
  <si>
    <t>Non-GAAP Segment cash cost per ton sold is calculated as segment cash cost of coal sales divided by segment tons sold. Segment cash cost of coal sales is adjusted for transportation costs, and may be adjusted for other items that, due to generally accepted accounting principles, are classified in “other income” on the consolidated  statement of operations, but relate directly to the costs incurred to produce coal. Segment cash cost per ton sold is not a measure of financial performance in accordance with generally accepted accounting principles. We believe segment cash cost per ton sold better reflects our controllable costs and our operating results by including all costs incurred to produce coal. The adjustments made to arrive at these measures are significant in understanding and assessing our financial condition. Therefore, segment cash cost of coal sales should not be considered in isolation, nor as an alternative to cost of sales under generally accepted accounting principles.</t>
  </si>
  <si>
    <t>Adjusted EBITDA is not a measure of financial performance in accordance with generally accepted accounting principles, and items excluded from Adjusted EBITDA are significant in understanding and assessing our financial condition. Therefore, Adjusted EBITDA should not be considered in isolation, nor as an alternative to net income (loss), income (loss) from operations, cash flows from operations or as a measure of our profitability, liquidity or performance under generally accepted accounting principles. The Company uses adjusted EBITDA to measure the operating performance of its segments and allocate resources to the segments. Furthermore, analogous measures are used by industry analysts and investors to evaluate our operating performance. Investors should be aware that our presentation of Adjusted EBITDA may not be comparable to similarly titled measures used by other companies. The table below shows how we calculate Adjusted EBITDA.</t>
  </si>
  <si>
    <t>Adjusted EBITDA is defined as net income (loss) attributable to the Company before the effect of net interest expense, income taxes, depreciation, depletion and amortization, accretion on asset retirement obligations and nonoperating expenses. Adjusted EBITDA may also be adjusted for items that may not reflect the trend of future results by excluding transactions that are not indicative of the Company's core operating performance.</t>
  </si>
  <si>
    <t xml:space="preserve">Segment Cash Cost of Sales </t>
  </si>
  <si>
    <t xml:space="preserve">Selling, general and administrative expenses </t>
  </si>
  <si>
    <t xml:space="preserve">Segment Sales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</si>
</sst>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_(&quot;$&quot;* \(#,##0.00\);_(&quot;$&quot;* &quot;-&quot;??_);_(@_)"/>
    <numFmt numFmtId="43" formatCode="_(* #,##0.00_);_(* \(#,##0.00\);_(* &quot;-&quot;??_);_(@_)"/>
    <numFmt numFmtId="164" formatCode="_(&quot;$&quot;* #,##0_);_(&quot;$&quot;* \(#,##0\);_(&quot;$&quot;* &quot;-&quot;??_);_(@_)"/>
    <numFmt numFmtId="165" formatCode="_(&quot;$&quot;* #,##0_);_(&quot;$&quot;* \(#,##0\);_(&quot;$&quot;* &quot;—&quot;_);_(@_)"/>
    <numFmt numFmtId="166" formatCode="_(* #,##0_);_(* \(#,##0\);_(* &quot;-&quot;??_);_(@_)"/>
    <numFmt numFmtId="167" formatCode="_(#,##0_);_(\(#,##0\);_(&quot;—&quot;_);_(@_)"/>
    <numFmt numFmtId="168" formatCode="_(#,##0_)_%;_(\(#,##0\)_%;_(&quot;—&quot;_);_(@_)"/>
    <numFmt numFmtId="169" formatCode="_(* #,##0.0_);_(* \(#,##0.0\);_(* &quot;-&quot;??_);_(@_)"/>
    <numFmt numFmtId="170" formatCode="_(&quot;$&quot;* #,##0.0_);_(&quot;$&quot;* \(#,##0.0\);_(&quot;$&quot;* &quot;-&quot;??_);_(@_)"/>
    <numFmt numFmtId="171" formatCode="#,##0.00;\(#,##0.00\)"/>
  </numFmts>
  <fonts count="22" x14ac:knownFonts="1">
    <font>
      <sz val="10"/>
      <color rgb="FF000000"/>
      <name val="Times New Roman"/>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b/>
      <sz val="12"/>
      <color rgb="FF000000"/>
      <name val="Arial"/>
      <family val="2"/>
    </font>
    <font>
      <sz val="12"/>
      <color rgb="FF000000"/>
      <name val="Arial"/>
      <family val="2"/>
    </font>
    <font>
      <sz val="10"/>
      <color rgb="FF000000"/>
      <name val="Arial"/>
      <family val="2"/>
    </font>
    <font>
      <b/>
      <sz val="8"/>
      <color rgb="FF000000"/>
      <name val="Arial"/>
      <family val="2"/>
    </font>
    <font>
      <sz val="8"/>
      <color rgb="FF000000"/>
      <name val="Arial"/>
      <family val="2"/>
    </font>
    <font>
      <b/>
      <sz val="10"/>
      <color rgb="FF000000"/>
      <name val="Arial"/>
      <family val="2"/>
    </font>
    <font>
      <sz val="10"/>
      <name val="Arial"/>
      <family val="2"/>
    </font>
    <font>
      <sz val="9"/>
      <color indexed="8"/>
      <name val="Arial"/>
      <family val="2"/>
    </font>
    <font>
      <sz val="10"/>
      <color rgb="FF000000"/>
      <name val="Times New Roman"/>
      <family val="1"/>
    </font>
    <font>
      <sz val="10"/>
      <name val="Arial"/>
      <family val="2"/>
    </font>
    <font>
      <sz val="9"/>
      <color indexed="8"/>
      <name val="Arial"/>
      <family val="2"/>
    </font>
    <font>
      <sz val="10"/>
      <name val="Arial"/>
      <family val="2"/>
    </font>
    <font>
      <b/>
      <i/>
      <sz val="11"/>
      <color theme="1"/>
      <name val="Arial"/>
      <family val="2"/>
    </font>
    <font>
      <b/>
      <sz val="11"/>
      <color theme="1"/>
      <name val="Arial"/>
      <family val="2"/>
    </font>
    <font>
      <b/>
      <i/>
      <sz val="10"/>
      <name val="Arial"/>
      <family val="2"/>
    </font>
    <font>
      <sz val="10"/>
      <color indexed="8"/>
      <name val="Arial"/>
      <family val="2"/>
    </font>
    <font>
      <sz val="10"/>
      <color rgb="FF000000"/>
      <name val="Times New Roman"/>
      <family val="1"/>
    </font>
  </fonts>
  <fills count="2">
    <fill>
      <patternFill patternType="none"/>
    </fill>
    <fill>
      <patternFill patternType="gray125"/>
    </fill>
  </fills>
  <borders count="9">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bottom style="double">
        <color auto="1"/>
      </bottom>
      <diagonal/>
    </border>
    <border>
      <left/>
      <right/>
      <top style="thin">
        <color auto="1"/>
      </top>
      <bottom style="double">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s>
  <cellStyleXfs count="46">
    <xf numFmtId="0" fontId="0"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43" fontId="11"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4" fontId="3" fillId="0" borderId="0" applyFont="0" applyFill="0" applyBorder="0" applyAlignment="0" applyProtection="0"/>
    <xf numFmtId="44" fontId="11" fillId="0" borderId="0" applyFont="0" applyFill="0" applyBorder="0" applyAlignment="0" applyProtection="0"/>
    <xf numFmtId="171" fontId="12" fillId="0" borderId="0"/>
    <xf numFmtId="0" fontId="3" fillId="0" borderId="0"/>
    <xf numFmtId="0" fontId="11" fillId="0" borderId="0"/>
    <xf numFmtId="9" fontId="11" fillId="0" borderId="0" applyFont="0" applyFill="0" applyBorder="0" applyAlignment="0" applyProtection="0"/>
    <xf numFmtId="0" fontId="2" fillId="0" borderId="0"/>
    <xf numFmtId="0" fontId="14" fillId="0" borderId="0"/>
    <xf numFmtId="43" fontId="11" fillId="0" borderId="0" applyFont="0" applyFill="0" applyBorder="0" applyAlignment="0" applyProtection="0"/>
    <xf numFmtId="44" fontId="11" fillId="0" borderId="0" applyFont="0" applyFill="0" applyBorder="0" applyAlignment="0" applyProtection="0"/>
    <xf numFmtId="9" fontId="1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171" fontId="15" fillId="0" borderId="0"/>
    <xf numFmtId="0" fontId="13"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4" fillId="0" borderId="0"/>
    <xf numFmtId="0" fontId="16"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171" fontId="12"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1" fillId="0" borderId="0"/>
    <xf numFmtId="9" fontId="21" fillId="0" borderId="0" applyFont="0" applyFill="0" applyBorder="0" applyAlignment="0" applyProtection="0"/>
  </cellStyleXfs>
  <cellXfs count="164">
    <xf numFmtId="0" fontId="0" fillId="0" borderId="0" xfId="0"/>
    <xf numFmtId="0" fontId="7" fillId="0" borderId="0" xfId="0" applyFont="1" applyAlignment="1">
      <alignment wrapText="1" indent="1"/>
    </xf>
    <xf numFmtId="167" fontId="7" fillId="0" borderId="0" xfId="0" applyNumberFormat="1" applyFont="1" applyAlignment="1"/>
    <xf numFmtId="0" fontId="7" fillId="0" borderId="0" xfId="0" applyFont="1" applyAlignment="1">
      <alignment wrapText="1" indent="2"/>
    </xf>
    <xf numFmtId="167" fontId="7" fillId="0" borderId="0" xfId="0" applyNumberFormat="1" applyFont="1" applyAlignment="1">
      <alignment horizontal="left"/>
    </xf>
    <xf numFmtId="0" fontId="6" fillId="0" borderId="0" xfId="0" applyFont="1" applyAlignment="1">
      <alignment horizontal="left"/>
    </xf>
    <xf numFmtId="0" fontId="10" fillId="0" borderId="0" xfId="0" applyFont="1" applyAlignment="1">
      <alignment wrapText="1"/>
    </xf>
    <xf numFmtId="0" fontId="7" fillId="0" borderId="0" xfId="0" applyFont="1" applyBorder="1" applyAlignment="1">
      <alignment horizontal="left"/>
    </xf>
    <xf numFmtId="0" fontId="7" fillId="0" borderId="0" xfId="0" applyFont="1" applyAlignment="1">
      <alignment wrapText="1" indent="3"/>
    </xf>
    <xf numFmtId="167" fontId="7" fillId="0" borderId="0" xfId="0" applyNumberFormat="1" applyFont="1" applyFill="1" applyBorder="1" applyAlignment="1"/>
    <xf numFmtId="167" fontId="7" fillId="0" borderId="0" xfId="0" applyNumberFormat="1" applyFont="1" applyFill="1" applyAlignment="1">
      <alignment horizontal="left"/>
    </xf>
    <xf numFmtId="0" fontId="10" fillId="0" borderId="0" xfId="0" applyFont="1" applyFill="1" applyAlignment="1">
      <alignment wrapText="1"/>
    </xf>
    <xf numFmtId="0" fontId="7" fillId="0" borderId="0" xfId="0" applyFont="1" applyFill="1" applyAlignment="1">
      <alignment wrapText="1" indent="1"/>
    </xf>
    <xf numFmtId="166" fontId="7" fillId="0" borderId="1" xfId="1" applyNumberFormat="1" applyFont="1" applyFill="1" applyBorder="1" applyAlignment="1">
      <alignment horizontal="right"/>
    </xf>
    <xf numFmtId="166" fontId="7" fillId="0" borderId="2" xfId="1" applyNumberFormat="1" applyFont="1" applyFill="1" applyBorder="1" applyAlignment="1">
      <alignment horizontal="right"/>
    </xf>
    <xf numFmtId="0" fontId="7" fillId="0" borderId="0" xfId="0" applyFont="1" applyFill="1" applyAlignment="1">
      <alignment wrapText="1" indent="2"/>
    </xf>
    <xf numFmtId="0" fontId="10" fillId="0" borderId="0" xfId="0" applyFont="1" applyFill="1" applyAlignment="1">
      <alignment horizontal="left"/>
    </xf>
    <xf numFmtId="166" fontId="7" fillId="0" borderId="0" xfId="1" applyNumberFormat="1" applyFont="1" applyFill="1" applyBorder="1" applyAlignment="1">
      <alignment horizontal="right"/>
    </xf>
    <xf numFmtId="0" fontId="10" fillId="0" borderId="0" xfId="0" applyFont="1" applyFill="1" applyAlignment="1">
      <alignment wrapText="1" indent="2"/>
    </xf>
    <xf numFmtId="164" fontId="7" fillId="0" borderId="4" xfId="2" applyNumberFormat="1" applyFont="1" applyFill="1" applyBorder="1" applyAlignment="1">
      <alignment horizontal="right"/>
    </xf>
    <xf numFmtId="165" fontId="7" fillId="0" borderId="4" xfId="0" applyNumberFormat="1" applyFont="1" applyFill="1" applyBorder="1" applyAlignment="1"/>
    <xf numFmtId="0" fontId="6" fillId="0" borderId="0" xfId="0" applyFont="1" applyFill="1" applyAlignment="1">
      <alignment horizontal="left"/>
    </xf>
    <xf numFmtId="164" fontId="7" fillId="0" borderId="0" xfId="2" applyNumberFormat="1" applyFont="1" applyFill="1" applyAlignment="1"/>
    <xf numFmtId="166" fontId="7" fillId="0" borderId="0" xfId="1" applyNumberFormat="1" applyFont="1" applyFill="1" applyAlignment="1">
      <alignment horizontal="left"/>
    </xf>
    <xf numFmtId="166" fontId="7" fillId="0" borderId="0" xfId="1" applyNumberFormat="1" applyFont="1" applyFill="1" applyAlignment="1"/>
    <xf numFmtId="167" fontId="7" fillId="0" borderId="1" xfId="0" applyNumberFormat="1" applyFont="1" applyFill="1" applyBorder="1" applyAlignment="1"/>
    <xf numFmtId="166" fontId="7" fillId="0" borderId="1" xfId="1" applyNumberFormat="1" applyFont="1" applyFill="1" applyBorder="1" applyAlignment="1"/>
    <xf numFmtId="164" fontId="7" fillId="0" borderId="4" xfId="2" applyNumberFormat="1" applyFont="1" applyFill="1" applyBorder="1" applyAlignment="1"/>
    <xf numFmtId="166" fontId="7" fillId="0" borderId="2" xfId="1" applyNumberFormat="1" applyFont="1" applyFill="1" applyBorder="1" applyAlignment="1"/>
    <xf numFmtId="167" fontId="7" fillId="0" borderId="3" xfId="0" applyNumberFormat="1" applyFont="1" applyFill="1" applyBorder="1" applyAlignment="1"/>
    <xf numFmtId="165" fontId="7" fillId="0" borderId="0" xfId="0" applyNumberFormat="1" applyFont="1" applyFill="1" applyAlignment="1">
      <alignment horizontal="left"/>
    </xf>
    <xf numFmtId="166" fontId="7" fillId="0" borderId="0" xfId="0" applyNumberFormat="1" applyFont="1" applyAlignment="1">
      <alignment horizontal="left"/>
    </xf>
    <xf numFmtId="166" fontId="7" fillId="0" borderId="0" xfId="1" applyNumberFormat="1" applyFont="1" applyFill="1" applyBorder="1" applyAlignment="1"/>
    <xf numFmtId="168" fontId="7" fillId="0" borderId="0" xfId="0" applyNumberFormat="1" applyFont="1" applyFill="1" applyAlignment="1"/>
    <xf numFmtId="0" fontId="7" fillId="0" borderId="0" xfId="0" applyFont="1" applyFill="1" applyBorder="1" applyAlignment="1">
      <alignment horizontal="left"/>
    </xf>
    <xf numFmtId="0" fontId="7" fillId="0" borderId="0" xfId="0" applyFont="1" applyAlignment="1"/>
    <xf numFmtId="166" fontId="7" fillId="0" borderId="0" xfId="1" applyNumberFormat="1" applyFont="1" applyFill="1" applyBorder="1" applyAlignment="1">
      <alignment horizontal="left"/>
    </xf>
    <xf numFmtId="0" fontId="9" fillId="0" borderId="0" xfId="0" applyFont="1" applyBorder="1" applyAlignment="1">
      <alignment horizontal="center" wrapText="1"/>
    </xf>
    <xf numFmtId="164" fontId="7" fillId="0" borderId="0" xfId="2" applyNumberFormat="1" applyFont="1" applyFill="1" applyBorder="1" applyAlignment="1"/>
    <xf numFmtId="164" fontId="7" fillId="0" borderId="0" xfId="2" applyNumberFormat="1" applyFont="1" applyFill="1" applyBorder="1" applyAlignment="1">
      <alignment horizontal="left"/>
    </xf>
    <xf numFmtId="0" fontId="8" fillId="0" borderId="0" xfId="0" applyFont="1" applyBorder="1" applyAlignment="1">
      <alignment horizontal="center"/>
    </xf>
    <xf numFmtId="0" fontId="8" fillId="0" borderId="0" xfId="0" quotePrefix="1" applyFont="1" applyBorder="1" applyAlignment="1">
      <alignment horizontal="center" wrapText="1"/>
    </xf>
    <xf numFmtId="165" fontId="7" fillId="0" borderId="0" xfId="0" applyNumberFormat="1" applyFont="1" applyFill="1" applyBorder="1" applyAlignment="1"/>
    <xf numFmtId="166" fontId="7" fillId="0" borderId="3" xfId="1" applyNumberFormat="1" applyFont="1" applyFill="1" applyBorder="1" applyAlignment="1"/>
    <xf numFmtId="166" fontId="7" fillId="0" borderId="0" xfId="24" applyNumberFormat="1" applyFont="1" applyFill="1" applyBorder="1" applyAlignment="1"/>
    <xf numFmtId="170" fontId="7" fillId="0" borderId="0" xfId="25" applyNumberFormat="1" applyFont="1" applyFill="1" applyBorder="1" applyAlignment="1"/>
    <xf numFmtId="169" fontId="7" fillId="0" borderId="1" xfId="24" applyNumberFormat="1" applyFont="1" applyFill="1" applyBorder="1" applyAlignment="1"/>
    <xf numFmtId="169" fontId="7" fillId="0" borderId="0" xfId="24" applyNumberFormat="1" applyFont="1" applyFill="1" applyBorder="1" applyAlignment="1"/>
    <xf numFmtId="44" fontId="7" fillId="0" borderId="4" xfId="2" applyFont="1" applyFill="1" applyBorder="1" applyAlignment="1">
      <alignment horizontal="right"/>
    </xf>
    <xf numFmtId="0" fontId="9" fillId="0" borderId="3" xfId="30" applyFont="1" applyBorder="1" applyAlignment="1">
      <alignment horizontal="center" wrapText="1"/>
    </xf>
    <xf numFmtId="0" fontId="7" fillId="0" borderId="0" xfId="30" applyFont="1" applyAlignment="1">
      <alignment wrapText="1"/>
    </xf>
    <xf numFmtId="164" fontId="7" fillId="0" borderId="0" xfId="25" applyNumberFormat="1" applyFont="1" applyFill="1" applyBorder="1" applyAlignment="1"/>
    <xf numFmtId="0" fontId="7" fillId="0" borderId="0" xfId="30" applyFont="1" applyAlignment="1">
      <alignment wrapText="1" indent="2"/>
    </xf>
    <xf numFmtId="43" fontId="7" fillId="0" borderId="1" xfId="24" applyFont="1" applyFill="1" applyBorder="1" applyAlignment="1"/>
    <xf numFmtId="43" fontId="7" fillId="0" borderId="0" xfId="24" applyFont="1" applyFill="1" applyBorder="1" applyAlignment="1"/>
    <xf numFmtId="170" fontId="7" fillId="0" borderId="4" xfId="25" applyNumberFormat="1" applyFont="1" applyFill="1" applyBorder="1" applyAlignment="1"/>
    <xf numFmtId="0" fontId="7" fillId="0" borderId="0" xfId="30" applyFont="1" applyAlignment="1"/>
    <xf numFmtId="44" fontId="7" fillId="0" borderId="0" xfId="30" applyNumberFormat="1" applyFont="1" applyAlignment="1">
      <alignment wrapText="1"/>
    </xf>
    <xf numFmtId="164" fontId="7" fillId="0" borderId="0" xfId="2" applyNumberFormat="1" applyFont="1" applyFill="1" applyBorder="1" applyAlignment="1">
      <alignment horizontal="right"/>
    </xf>
    <xf numFmtId="0" fontId="7" fillId="0" borderId="0" xfId="0" applyFont="1" applyFill="1" applyBorder="1" applyAlignment="1">
      <alignment horizontal="right"/>
    </xf>
    <xf numFmtId="44" fontId="7" fillId="0" borderId="4" xfId="2" applyNumberFormat="1" applyFont="1" applyFill="1" applyBorder="1" applyAlignment="1">
      <alignment horizontal="right"/>
    </xf>
    <xf numFmtId="166" fontId="7" fillId="0" borderId="4" xfId="1" applyNumberFormat="1" applyFont="1" applyFill="1" applyBorder="1" applyAlignment="1">
      <alignment horizontal="right"/>
    </xf>
    <xf numFmtId="168" fontId="7" fillId="0" borderId="0" xfId="0" applyNumberFormat="1" applyFont="1" applyFill="1" applyBorder="1" applyAlignment="1"/>
    <xf numFmtId="167" fontId="7" fillId="0" borderId="0" xfId="0" applyNumberFormat="1" applyFont="1" applyFill="1" applyBorder="1" applyAlignment="1">
      <alignment horizontal="left"/>
    </xf>
    <xf numFmtId="0" fontId="8" fillId="0" borderId="2" xfId="0" applyFont="1" applyBorder="1" applyAlignment="1">
      <alignment horizontal="center" wrapText="1"/>
    </xf>
    <xf numFmtId="165" fontId="7" fillId="0" borderId="0" xfId="0" applyNumberFormat="1" applyFont="1" applyFill="1" applyBorder="1" applyAlignment="1">
      <alignment horizontal="left"/>
    </xf>
    <xf numFmtId="0" fontId="8" fillId="0" borderId="0" xfId="0" applyFont="1" applyBorder="1" applyAlignment="1"/>
    <xf numFmtId="44" fontId="7" fillId="0" borderId="0" xfId="25" applyFont="1" applyFill="1" applyBorder="1" applyAlignment="1"/>
    <xf numFmtId="0" fontId="8" fillId="0" borderId="1" xfId="30" applyFont="1" applyBorder="1" applyAlignment="1"/>
    <xf numFmtId="0" fontId="17" fillId="0" borderId="0" xfId="0" applyFont="1" applyAlignment="1">
      <alignment wrapText="1"/>
    </xf>
    <xf numFmtId="0" fontId="18" fillId="0" borderId="6" xfId="0" applyFont="1" applyBorder="1" applyAlignment="1">
      <alignment horizontal="center" wrapText="1"/>
    </xf>
    <xf numFmtId="0" fontId="18" fillId="0" borderId="2" xfId="0" applyFont="1" applyBorder="1" applyAlignment="1">
      <alignment horizontal="center" wrapText="1"/>
    </xf>
    <xf numFmtId="0" fontId="18" fillId="0" borderId="7" xfId="0" applyFont="1" applyBorder="1" applyAlignment="1">
      <alignment horizontal="center" wrapText="1"/>
    </xf>
    <xf numFmtId="0" fontId="7" fillId="0" borderId="0" xfId="0" applyFont="1" applyBorder="1"/>
    <xf numFmtId="0" fontId="7" fillId="0" borderId="0" xfId="0" applyFont="1"/>
    <xf numFmtId="164" fontId="7" fillId="0" borderId="0" xfId="2" applyNumberFormat="1" applyFont="1" applyBorder="1"/>
    <xf numFmtId="0" fontId="7" fillId="0" borderId="0" xfId="0" applyFont="1" applyAlignment="1">
      <alignment horizontal="left" wrapText="1" indent="1"/>
    </xf>
    <xf numFmtId="0" fontId="11" fillId="0" borderId="0" xfId="31" applyFont="1"/>
    <xf numFmtId="164" fontId="7" fillId="0" borderId="0" xfId="2" applyNumberFormat="1" applyFont="1" applyFill="1" applyBorder="1"/>
    <xf numFmtId="0" fontId="18" fillId="0" borderId="0" xfId="0" applyFont="1" applyFill="1" applyAlignment="1">
      <alignment wrapText="1"/>
    </xf>
    <xf numFmtId="0" fontId="18" fillId="0" borderId="0" xfId="0" applyFont="1" applyFill="1" applyBorder="1" applyAlignment="1">
      <alignment horizontal="center"/>
    </xf>
    <xf numFmtId="0" fontId="18" fillId="0" borderId="0" xfId="0" applyFont="1" applyFill="1"/>
    <xf numFmtId="0" fontId="18" fillId="0" borderId="0" xfId="0" applyFont="1" applyFill="1" applyAlignment="1">
      <alignment horizontal="center"/>
    </xf>
    <xf numFmtId="0" fontId="18" fillId="0" borderId="0" xfId="0" applyFont="1" applyAlignment="1">
      <alignment wrapText="1"/>
    </xf>
    <xf numFmtId="0" fontId="18" fillId="0" borderId="0" xfId="0" applyFont="1" applyBorder="1" applyAlignment="1">
      <alignment horizontal="center"/>
    </xf>
    <xf numFmtId="0" fontId="18" fillId="0" borderId="0" xfId="0" applyFont="1"/>
    <xf numFmtId="0" fontId="18" fillId="0" borderId="0" xfId="0" applyFont="1" applyAlignment="1">
      <alignment horizontal="center"/>
    </xf>
    <xf numFmtId="0" fontId="11" fillId="0" borderId="0" xfId="31" applyFont="1" applyAlignment="1"/>
    <xf numFmtId="0" fontId="19" fillId="0" borderId="0" xfId="31" applyFont="1" applyAlignment="1"/>
    <xf numFmtId="0" fontId="10" fillId="0" borderId="0" xfId="0" applyFont="1" applyAlignment="1">
      <alignment horizontal="left"/>
    </xf>
    <xf numFmtId="166" fontId="7" fillId="0" borderId="1" xfId="1" applyNumberFormat="1" applyFont="1" applyFill="1" applyBorder="1" applyAlignment="1">
      <alignment horizontal="left"/>
    </xf>
    <xf numFmtId="165" fontId="7" fillId="0" borderId="4" xfId="0" applyNumberFormat="1" applyFont="1" applyFill="1" applyBorder="1" applyAlignment="1">
      <alignment horizontal="left"/>
    </xf>
    <xf numFmtId="166" fontId="7" fillId="0" borderId="0" xfId="1" applyNumberFormat="1" applyFont="1" applyFill="1"/>
    <xf numFmtId="44" fontId="7" fillId="0" borderId="0" xfId="2" applyFont="1" applyFill="1" applyBorder="1"/>
    <xf numFmtId="164" fontId="7" fillId="0" borderId="5" xfId="2" applyNumberFormat="1" applyFont="1" applyFill="1" applyBorder="1"/>
    <xf numFmtId="0" fontId="8" fillId="0" borderId="1" xfId="0" applyFont="1" applyBorder="1" applyAlignment="1">
      <alignment horizontal="center" wrapText="1"/>
    </xf>
    <xf numFmtId="0" fontId="8" fillId="0" borderId="1" xfId="0" applyFont="1" applyBorder="1" applyAlignment="1">
      <alignment horizontal="center"/>
    </xf>
    <xf numFmtId="0" fontId="8" fillId="0" borderId="0" xfId="0" applyFont="1" applyAlignment="1">
      <alignment horizontal="center"/>
    </xf>
    <xf numFmtId="166" fontId="7" fillId="0" borderId="0" xfId="1" applyNumberFormat="1" applyFont="1" applyFill="1" applyBorder="1"/>
    <xf numFmtId="166" fontId="7" fillId="0" borderId="0" xfId="1" applyNumberFormat="1" applyFont="1" applyBorder="1"/>
    <xf numFmtId="169" fontId="7" fillId="0" borderId="0" xfId="1" applyNumberFormat="1" applyFont="1" applyFill="1" applyBorder="1" applyAlignment="1"/>
    <xf numFmtId="0" fontId="9" fillId="0" borderId="0" xfId="0" applyFont="1" applyBorder="1" applyAlignment="1">
      <alignment wrapText="1"/>
    </xf>
    <xf numFmtId="164" fontId="7" fillId="0" borderId="0" xfId="0" applyNumberFormat="1" applyFont="1" applyFill="1" applyBorder="1" applyAlignment="1">
      <alignment horizontal="right"/>
    </xf>
    <xf numFmtId="164" fontId="7" fillId="0" borderId="4" xfId="0" applyNumberFormat="1" applyFont="1" applyFill="1" applyBorder="1" applyAlignment="1">
      <alignment horizontal="right"/>
    </xf>
    <xf numFmtId="164" fontId="7" fillId="0" borderId="4" xfId="0" applyNumberFormat="1" applyFont="1" applyFill="1" applyBorder="1" applyAlignment="1"/>
    <xf numFmtId="44" fontId="7" fillId="0" borderId="0" xfId="2" applyNumberFormat="1" applyFont="1" applyFill="1" applyBorder="1" applyAlignment="1">
      <alignment horizontal="right"/>
    </xf>
    <xf numFmtId="44" fontId="7" fillId="0" borderId="0" xfId="2" applyFont="1" applyFill="1" applyBorder="1" applyAlignment="1">
      <alignment horizontal="right"/>
    </xf>
    <xf numFmtId="43" fontId="7" fillId="0" borderId="0" xfId="1" applyFont="1" applyFill="1" applyBorder="1" applyAlignment="1"/>
    <xf numFmtId="169" fontId="7" fillId="0" borderId="0" xfId="1" applyNumberFormat="1" applyFont="1" applyFill="1" applyBorder="1"/>
    <xf numFmtId="165" fontId="7" fillId="0" borderId="0" xfId="0" applyNumberFormat="1" applyFont="1" applyAlignment="1">
      <alignment horizontal="left"/>
    </xf>
    <xf numFmtId="164" fontId="7" fillId="0" borderId="4" xfId="0" applyNumberFormat="1" applyFont="1" applyBorder="1" applyAlignment="1">
      <alignment wrapText="1"/>
    </xf>
    <xf numFmtId="169" fontId="20" fillId="0" borderId="0" xfId="0" applyNumberFormat="1" applyFont="1" applyFill="1" applyBorder="1" applyAlignment="1" applyProtection="1"/>
    <xf numFmtId="166" fontId="20" fillId="0" borderId="0" xfId="0" applyNumberFormat="1" applyFont="1" applyFill="1" applyBorder="1" applyAlignment="1" applyProtection="1"/>
    <xf numFmtId="170" fontId="20" fillId="0" borderId="0" xfId="0" applyNumberFormat="1" applyFont="1" applyFill="1" applyBorder="1" applyAlignment="1" applyProtection="1"/>
    <xf numFmtId="169" fontId="20" fillId="0" borderId="8" xfId="0" applyNumberFormat="1" applyFont="1" applyFill="1" applyBorder="1" applyAlignment="1" applyProtection="1"/>
    <xf numFmtId="0" fontId="7" fillId="0" borderId="0" xfId="0" applyFont="1" applyFill="1" applyAlignment="1"/>
    <xf numFmtId="169" fontId="7" fillId="0" borderId="8" xfId="24" applyNumberFormat="1" applyFont="1" applyFill="1" applyBorder="1" applyAlignment="1"/>
    <xf numFmtId="166" fontId="7" fillId="0" borderId="8" xfId="1" applyNumberFormat="1" applyFont="1" applyFill="1" applyBorder="1" applyAlignment="1"/>
    <xf numFmtId="43" fontId="7" fillId="0" borderId="8" xfId="24" applyFont="1" applyFill="1" applyBorder="1" applyAlignment="1"/>
    <xf numFmtId="0" fontId="7" fillId="0" borderId="0" xfId="0" applyFont="1" applyFill="1" applyAlignment="1">
      <alignment horizontal="left" wrapText="1" indent="2"/>
    </xf>
    <xf numFmtId="164" fontId="7" fillId="0" borderId="4" xfId="2" applyNumberFormat="1" applyFont="1" applyFill="1" applyBorder="1" applyAlignment="1">
      <alignment horizontal="left"/>
    </xf>
    <xf numFmtId="43" fontId="7" fillId="0" borderId="0" xfId="1" applyFont="1" applyFill="1" applyAlignment="1">
      <alignment horizontal="left"/>
    </xf>
    <xf numFmtId="44" fontId="7" fillId="0" borderId="0" xfId="0" applyNumberFormat="1" applyFont="1" applyFill="1" applyAlignment="1">
      <alignment horizontal="left"/>
    </xf>
    <xf numFmtId="3" fontId="7" fillId="0" borderId="0" xfId="0" applyNumberFormat="1" applyFont="1"/>
    <xf numFmtId="166" fontId="7" fillId="0" borderId="0" xfId="0" applyNumberFormat="1" applyFont="1" applyFill="1" applyAlignment="1">
      <alignment horizontal="left"/>
    </xf>
    <xf numFmtId="0" fontId="5" fillId="0" borderId="0" xfId="30" applyFont="1" applyAlignment="1"/>
    <xf numFmtId="0" fontId="7" fillId="0" borderId="0" xfId="0" applyFont="1" applyFill="1" applyAlignment="1">
      <alignment wrapText="1"/>
    </xf>
    <xf numFmtId="0" fontId="7" fillId="0" borderId="0" xfId="0" applyFont="1" applyAlignment="1">
      <alignment horizontal="left"/>
    </xf>
    <xf numFmtId="0" fontId="7" fillId="0" borderId="0" xfId="0" applyFont="1" applyAlignment="1">
      <alignment wrapText="1"/>
    </xf>
    <xf numFmtId="0" fontId="7" fillId="0" borderId="0" xfId="30" applyFont="1" applyAlignment="1">
      <alignment horizontal="left"/>
    </xf>
    <xf numFmtId="0" fontId="7" fillId="0" borderId="0" xfId="0" applyFont="1" applyFill="1" applyAlignment="1">
      <alignment horizontal="left"/>
    </xf>
    <xf numFmtId="0" fontId="7" fillId="0" borderId="0" xfId="0" applyFont="1" applyAlignment="1">
      <alignment horizontal="left" vertical="top" wrapText="1" indent="1"/>
    </xf>
    <xf numFmtId="9" fontId="7" fillId="0" borderId="0" xfId="45" applyFont="1" applyAlignment="1">
      <alignment wrapText="1"/>
    </xf>
    <xf numFmtId="0" fontId="7" fillId="0" borderId="0" xfId="0" applyFont="1" applyAlignment="1">
      <alignment horizontal="center" wrapText="1"/>
    </xf>
    <xf numFmtId="164" fontId="7" fillId="0" borderId="0" xfId="0" applyNumberFormat="1" applyFont="1" applyAlignment="1">
      <alignment wrapText="1"/>
    </xf>
    <xf numFmtId="166" fontId="7" fillId="0" borderId="0" xfId="0" applyNumberFormat="1" applyFont="1" applyAlignment="1">
      <alignment wrapText="1"/>
    </xf>
    <xf numFmtId="166" fontId="7" fillId="0" borderId="0" xfId="45" applyNumberFormat="1" applyFont="1" applyAlignment="1">
      <alignment wrapText="1"/>
    </xf>
    <xf numFmtId="166" fontId="7" fillId="0" borderId="0" xfId="1" applyNumberFormat="1" applyFont="1" applyAlignment="1">
      <alignment wrapText="1"/>
    </xf>
    <xf numFmtId="43" fontId="7" fillId="0" borderId="0" xfId="1" applyFont="1" applyAlignment="1">
      <alignment wrapText="1"/>
    </xf>
    <xf numFmtId="43" fontId="7" fillId="0" borderId="0" xfId="0" applyNumberFormat="1" applyFont="1" applyAlignment="1">
      <alignment wrapText="1"/>
    </xf>
    <xf numFmtId="0" fontId="7" fillId="0" borderId="0" xfId="0" applyFont="1" applyBorder="1" applyAlignment="1">
      <alignment wrapText="1"/>
    </xf>
    <xf numFmtId="164" fontId="11" fillId="0" borderId="0" xfId="31" applyNumberFormat="1" applyFont="1"/>
    <xf numFmtId="0" fontId="7" fillId="0" borderId="0" xfId="30" applyFont="1" applyBorder="1"/>
    <xf numFmtId="0" fontId="8" fillId="0" borderId="0" xfId="0" applyFont="1" applyBorder="1" applyAlignment="1">
      <alignment horizontal="center" wrapText="1"/>
    </xf>
    <xf numFmtId="0" fontId="9" fillId="0" borderId="0" xfId="0" applyFont="1" applyFill="1" applyBorder="1" applyAlignment="1">
      <alignment horizontal="center" wrapText="1"/>
    </xf>
    <xf numFmtId="165" fontId="7" fillId="0" borderId="5" xfId="0" applyNumberFormat="1" applyFont="1" applyFill="1" applyBorder="1" applyAlignment="1"/>
    <xf numFmtId="0" fontId="7" fillId="0" borderId="0" xfId="0" applyFont="1" applyFill="1" applyBorder="1" applyAlignment="1">
      <alignment wrapText="1"/>
    </xf>
    <xf numFmtId="165" fontId="7" fillId="0" borderId="0" xfId="0" applyNumberFormat="1" applyFont="1" applyFill="1" applyAlignment="1"/>
    <xf numFmtId="166" fontId="7" fillId="0" borderId="1" xfId="1" applyNumberFormat="1" applyFont="1" applyBorder="1" applyAlignment="1">
      <alignment wrapText="1"/>
    </xf>
    <xf numFmtId="166" fontId="7" fillId="0" borderId="4" xfId="1" applyNumberFormat="1" applyFont="1" applyBorder="1" applyAlignment="1">
      <alignment wrapText="1"/>
    </xf>
    <xf numFmtId="166" fontId="11" fillId="0" borderId="0" xfId="31" applyNumberFormat="1" applyFont="1"/>
    <xf numFmtId="0" fontId="5" fillId="0" borderId="0" xfId="0" applyFont="1" applyAlignment="1">
      <alignment horizontal="center" wrapText="1"/>
    </xf>
    <xf numFmtId="0" fontId="7" fillId="0" borderId="0" xfId="0" applyFont="1" applyFill="1" applyAlignment="1">
      <alignment wrapText="1"/>
    </xf>
    <xf numFmtId="0" fontId="8" fillId="0" borderId="8" xfId="0" applyFont="1" applyBorder="1" applyAlignment="1">
      <alignment horizontal="center" wrapText="1"/>
    </xf>
    <xf numFmtId="0" fontId="9" fillId="0" borderId="3" xfId="0" applyFont="1" applyBorder="1" applyAlignment="1">
      <alignment horizontal="center" wrapText="1"/>
    </xf>
    <xf numFmtId="0" fontId="7" fillId="0" borderId="0" xfId="0" applyFont="1" applyAlignment="1">
      <alignment horizontal="left"/>
    </xf>
    <xf numFmtId="0" fontId="7" fillId="0" borderId="0" xfId="0" applyFont="1" applyAlignment="1">
      <alignment wrapText="1"/>
    </xf>
    <xf numFmtId="0" fontId="5" fillId="0" borderId="0" xfId="30" applyFont="1" applyAlignment="1">
      <alignment horizontal="center" wrapText="1"/>
    </xf>
    <xf numFmtId="0" fontId="7" fillId="0" borderId="0" xfId="30" applyFont="1" applyAlignment="1">
      <alignment horizontal="left"/>
    </xf>
    <xf numFmtId="0" fontId="8" fillId="0" borderId="2" xfId="30" applyFont="1" applyBorder="1" applyAlignment="1">
      <alignment horizontal="center" wrapText="1"/>
    </xf>
    <xf numFmtId="0" fontId="7" fillId="0" borderId="0" xfId="0" applyFont="1" applyAlignment="1">
      <alignment horizontal="left" vertical="top" wrapText="1"/>
    </xf>
    <xf numFmtId="0" fontId="11" fillId="0" borderId="0" xfId="31" applyFont="1" applyAlignment="1">
      <alignment wrapText="1"/>
    </xf>
    <xf numFmtId="0" fontId="5" fillId="0" borderId="0" xfId="0" applyFont="1" applyAlignment="1">
      <alignment horizontal="center"/>
    </xf>
    <xf numFmtId="0" fontId="7" fillId="0" borderId="0" xfId="0" applyFont="1" applyAlignment="1">
      <alignment horizontal="left" vertical="top"/>
    </xf>
  </cellXfs>
  <cellStyles count="46">
    <cellStyle name="Comma" xfId="1" builtinId="3"/>
    <cellStyle name="Comma 2" xfId="4"/>
    <cellStyle name="Comma 3" xfId="5"/>
    <cellStyle name="Comma 3 2" xfId="28"/>
    <cellStyle name="Comma 3 2 2" xfId="42"/>
    <cellStyle name="Comma 3 3" xfId="20"/>
    <cellStyle name="Comma 3 3 2" xfId="38"/>
    <cellStyle name="Comma 3 4" xfId="32"/>
    <cellStyle name="Comma 4" xfId="6"/>
    <cellStyle name="Comma 5" xfId="24"/>
    <cellStyle name="Comma 6" xfId="16"/>
    <cellStyle name="Currency" xfId="2" builtinId="4"/>
    <cellStyle name="Currency 2" xfId="7"/>
    <cellStyle name="Currency 3" xfId="8"/>
    <cellStyle name="Currency 3 2" xfId="29"/>
    <cellStyle name="Currency 3 2 2" xfId="43"/>
    <cellStyle name="Currency 3 3" xfId="21"/>
    <cellStyle name="Currency 3 3 2" xfId="39"/>
    <cellStyle name="Currency 3 4" xfId="33"/>
    <cellStyle name="Currency 4" xfId="9"/>
    <cellStyle name="Currency 5" xfId="25"/>
    <cellStyle name="Currency 6" xfId="17"/>
    <cellStyle name="Normal" xfId="0" builtinId="0"/>
    <cellStyle name="Normal 2" xfId="3"/>
    <cellStyle name="Normal 2 2" xfId="10"/>
    <cellStyle name="Normal 2 3" xfId="26"/>
    <cellStyle name="Normal 2 4" xfId="22"/>
    <cellStyle name="Normal 2 4 2" xfId="40"/>
    <cellStyle name="Normal 3" xfId="11"/>
    <cellStyle name="Normal 3 2" xfId="27"/>
    <cellStyle name="Normal 3 2 2" xfId="41"/>
    <cellStyle name="Normal 3 3" xfId="19"/>
    <cellStyle name="Normal 3 3 2" xfId="37"/>
    <cellStyle name="Normal 3 4" xfId="34"/>
    <cellStyle name="Normal 4" xfId="12"/>
    <cellStyle name="Normal 5" xfId="23"/>
    <cellStyle name="Normal 5 2" xfId="30"/>
    <cellStyle name="Normal 6" xfId="15"/>
    <cellStyle name="Normal 6 2" xfId="36"/>
    <cellStyle name="Normal 7" xfId="14"/>
    <cellStyle name="Normal 7 2" xfId="35"/>
    <cellStyle name="Normal 8" xfId="31"/>
    <cellStyle name="Normal 8 2" xfId="44"/>
    <cellStyle name="Percent" xfId="45" builtinId="5"/>
    <cellStyle name="Percent 2" xfId="13"/>
    <cellStyle name="Percent 3"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A1:L104"/>
  <sheetViews>
    <sheetView tabSelected="1" zoomScaleNormal="100" workbookViewId="0">
      <selection activeCell="A32" sqref="A32"/>
    </sheetView>
  </sheetViews>
  <sheetFormatPr defaultColWidth="21.5" defaultRowHeight="13.5" customHeight="1" x14ac:dyDescent="0.2"/>
  <cols>
    <col min="1" max="1" width="74" style="128" bestFit="1" customWidth="1"/>
    <col min="2" max="2" width="20.6640625" style="128" customWidth="1"/>
    <col min="3" max="3" width="18.1640625" style="128" customWidth="1"/>
    <col min="4" max="4" width="1.33203125" style="128" customWidth="1"/>
    <col min="5" max="5" width="19.6640625" style="128" customWidth="1"/>
    <col min="6" max="6" width="17.5" style="128" customWidth="1"/>
    <col min="7" max="7" width="6.1640625" style="128" hidden="1" customWidth="1"/>
    <col min="8" max="8" width="13.6640625" style="128" hidden="1" customWidth="1"/>
    <col min="9" max="9" width="15.6640625" style="128" hidden="1" customWidth="1"/>
    <col min="10" max="10" width="15.6640625" style="128" customWidth="1"/>
    <col min="11" max="11" width="21.5" style="132"/>
    <col min="12" max="16384" width="21.5" style="128"/>
  </cols>
  <sheetData>
    <row r="1" spans="1:11" ht="13.5" customHeight="1" x14ac:dyDescent="0.25">
      <c r="A1" s="151" t="s">
        <v>152</v>
      </c>
      <c r="B1" s="151"/>
      <c r="C1" s="151"/>
      <c r="D1" s="151"/>
      <c r="E1" s="151"/>
      <c r="F1" s="151"/>
    </row>
    <row r="2" spans="1:11" ht="13.5" customHeight="1" x14ac:dyDescent="0.25">
      <c r="A2" s="151" t="s">
        <v>139</v>
      </c>
      <c r="B2" s="151"/>
      <c r="C2" s="151"/>
      <c r="D2" s="151"/>
      <c r="E2" s="151"/>
      <c r="F2" s="151"/>
    </row>
    <row r="3" spans="1:11" ht="13.5" customHeight="1" x14ac:dyDescent="0.25">
      <c r="A3" s="151" t="s">
        <v>0</v>
      </c>
      <c r="B3" s="151"/>
      <c r="C3" s="151"/>
      <c r="D3" s="151"/>
      <c r="E3" s="151"/>
      <c r="F3" s="151"/>
    </row>
    <row r="4" spans="1:11" ht="13.5" customHeight="1" x14ac:dyDescent="0.2">
      <c r="A4" s="5"/>
      <c r="B4" s="5"/>
    </row>
    <row r="5" spans="1:11" ht="13.5" customHeight="1" x14ac:dyDescent="0.2">
      <c r="A5" s="5"/>
      <c r="B5" s="5"/>
    </row>
    <row r="6" spans="1:11" ht="13.5" customHeight="1" x14ac:dyDescent="0.2">
      <c r="A6" s="127"/>
      <c r="B6" s="153" t="s">
        <v>153</v>
      </c>
      <c r="C6" s="153"/>
      <c r="E6" s="153" t="s">
        <v>154</v>
      </c>
      <c r="F6" s="153"/>
      <c r="H6" s="133" t="s">
        <v>155</v>
      </c>
      <c r="I6" s="128" t="s">
        <v>161</v>
      </c>
    </row>
    <row r="7" spans="1:11" ht="12.75" x14ac:dyDescent="0.2">
      <c r="A7" s="127"/>
      <c r="B7" s="95">
        <v>2020</v>
      </c>
      <c r="C7" s="64">
        <v>2019</v>
      </c>
      <c r="E7" s="95">
        <v>2020</v>
      </c>
      <c r="F7" s="64">
        <v>2019</v>
      </c>
    </row>
    <row r="8" spans="1:11" ht="13.5" customHeight="1" x14ac:dyDescent="0.2">
      <c r="A8" s="127"/>
      <c r="B8" s="154" t="s">
        <v>1</v>
      </c>
      <c r="C8" s="154"/>
      <c r="D8" s="101"/>
      <c r="E8" s="154" t="s">
        <v>1</v>
      </c>
      <c r="F8" s="154"/>
    </row>
    <row r="9" spans="1:11" ht="13.5" customHeight="1" x14ac:dyDescent="0.2">
      <c r="A9" s="127"/>
      <c r="B9" s="7"/>
      <c r="C9" s="7"/>
      <c r="E9" s="7"/>
      <c r="F9" s="7"/>
    </row>
    <row r="10" spans="1:11" ht="13.5" customHeight="1" x14ac:dyDescent="0.2">
      <c r="A10" s="11" t="s">
        <v>2</v>
      </c>
      <c r="B10" s="58">
        <v>319521</v>
      </c>
      <c r="C10" s="58">
        <v>570222</v>
      </c>
      <c r="E10" s="58">
        <v>724753</v>
      </c>
      <c r="F10" s="58">
        <v>1125405</v>
      </c>
      <c r="H10" s="58">
        <v>405232</v>
      </c>
      <c r="I10" s="58">
        <f>E10-H10</f>
        <v>319521</v>
      </c>
      <c r="J10" s="134"/>
    </row>
    <row r="11" spans="1:11" ht="13.5" customHeight="1" x14ac:dyDescent="0.2">
      <c r="A11" s="130"/>
      <c r="B11" s="59"/>
      <c r="C11" s="59"/>
      <c r="E11" s="59"/>
      <c r="F11" s="59"/>
      <c r="H11" s="59"/>
      <c r="I11" s="134"/>
    </row>
    <row r="12" spans="1:11" ht="13.5" customHeight="1" x14ac:dyDescent="0.2">
      <c r="A12" s="11" t="s">
        <v>3</v>
      </c>
      <c r="B12" s="59"/>
      <c r="C12" s="59"/>
      <c r="E12" s="59"/>
      <c r="F12" s="59"/>
      <c r="H12" s="59"/>
      <c r="I12" s="134"/>
    </row>
    <row r="13" spans="1:11" ht="13.5" customHeight="1" x14ac:dyDescent="0.2">
      <c r="A13" s="12" t="s">
        <v>126</v>
      </c>
      <c r="B13" s="17">
        <v>316348</v>
      </c>
      <c r="C13" s="17">
        <v>451088</v>
      </c>
      <c r="D13" s="135"/>
      <c r="E13" s="17">
        <v>691347</v>
      </c>
      <c r="F13" s="17">
        <v>889559</v>
      </c>
      <c r="H13" s="17">
        <v>374999</v>
      </c>
      <c r="I13" s="17">
        <f t="shared" ref="I13:I42" si="0">E13-H13</f>
        <v>316348</v>
      </c>
    </row>
    <row r="14" spans="1:11" ht="13.5" customHeight="1" x14ac:dyDescent="0.2">
      <c r="A14" s="12" t="s">
        <v>4</v>
      </c>
      <c r="B14" s="17">
        <v>30167</v>
      </c>
      <c r="C14" s="17">
        <f>26524+11</f>
        <v>26535</v>
      </c>
      <c r="E14" s="17">
        <v>61475</v>
      </c>
      <c r="F14" s="17">
        <f>51797+76</f>
        <v>51873</v>
      </c>
      <c r="H14" s="17">
        <v>31308</v>
      </c>
      <c r="I14" s="17">
        <f t="shared" si="0"/>
        <v>30167</v>
      </c>
    </row>
    <row r="15" spans="1:11" ht="13.5" customHeight="1" x14ac:dyDescent="0.2">
      <c r="A15" s="12" t="s">
        <v>69</v>
      </c>
      <c r="B15" s="17">
        <v>4986</v>
      </c>
      <c r="C15" s="17">
        <v>5137</v>
      </c>
      <c r="E15" s="17">
        <v>9992</v>
      </c>
      <c r="F15" s="17">
        <v>10274</v>
      </c>
      <c r="H15" s="17">
        <v>5006</v>
      </c>
      <c r="I15" s="17">
        <f t="shared" si="0"/>
        <v>4986</v>
      </c>
    </row>
    <row r="16" spans="1:11" ht="13.5" customHeight="1" x14ac:dyDescent="0.2">
      <c r="A16" s="12" t="s">
        <v>5</v>
      </c>
      <c r="B16" s="17">
        <v>-129</v>
      </c>
      <c r="C16" s="17">
        <v>-8400</v>
      </c>
      <c r="E16" s="17">
        <v>614</v>
      </c>
      <c r="F16" s="17">
        <v>-21381</v>
      </c>
      <c r="G16" s="135"/>
      <c r="H16" s="17">
        <v>743</v>
      </c>
      <c r="I16" s="17">
        <f t="shared" si="0"/>
        <v>-129</v>
      </c>
      <c r="K16" s="136"/>
    </row>
    <row r="17" spans="1:12" ht="13.5" customHeight="1" x14ac:dyDescent="0.2">
      <c r="A17" s="12" t="s">
        <v>6</v>
      </c>
      <c r="B17" s="17">
        <v>19738</v>
      </c>
      <c r="C17" s="17">
        <v>25209</v>
      </c>
      <c r="E17" s="17">
        <v>42483</v>
      </c>
      <c r="F17" s="17">
        <v>49298</v>
      </c>
      <c r="H17" s="17">
        <v>22745</v>
      </c>
      <c r="I17" s="17">
        <f t="shared" si="0"/>
        <v>19738</v>
      </c>
    </row>
    <row r="18" spans="1:12" ht="13.5" customHeight="1" x14ac:dyDescent="0.2">
      <c r="A18" s="12" t="s">
        <v>122</v>
      </c>
      <c r="B18" s="17">
        <v>7851</v>
      </c>
      <c r="C18" s="17">
        <v>3018</v>
      </c>
      <c r="E18" s="17">
        <v>11515</v>
      </c>
      <c r="F18" s="17">
        <v>3018</v>
      </c>
      <c r="H18" s="17">
        <v>3664</v>
      </c>
      <c r="I18" s="17">
        <f t="shared" si="0"/>
        <v>7851</v>
      </c>
    </row>
    <row r="19" spans="1:12" ht="13.5" customHeight="1" x14ac:dyDescent="0.2">
      <c r="A19" s="12" t="s">
        <v>142</v>
      </c>
      <c r="B19" s="17">
        <v>7437</v>
      </c>
      <c r="C19" s="17">
        <v>0</v>
      </c>
      <c r="E19" s="17">
        <v>13265</v>
      </c>
      <c r="F19" s="17">
        <v>0</v>
      </c>
      <c r="H19" s="17">
        <v>5828</v>
      </c>
      <c r="I19" s="17">
        <f t="shared" si="0"/>
        <v>7437</v>
      </c>
    </row>
    <row r="20" spans="1:12" ht="13.5" customHeight="1" x14ac:dyDescent="0.2">
      <c r="A20" s="12" t="s">
        <v>147</v>
      </c>
      <c r="B20" s="17">
        <v>-14518</v>
      </c>
      <c r="C20" s="17">
        <v>0</v>
      </c>
      <c r="E20" s="17">
        <v>-23518</v>
      </c>
      <c r="F20" s="17">
        <v>0</v>
      </c>
      <c r="H20" s="17">
        <v>-9000</v>
      </c>
      <c r="I20" s="17">
        <f t="shared" si="0"/>
        <v>-14518</v>
      </c>
    </row>
    <row r="21" spans="1:12" ht="13.5" customHeight="1" x14ac:dyDescent="0.2">
      <c r="A21" s="12" t="s">
        <v>170</v>
      </c>
      <c r="B21" s="17">
        <v>-1369</v>
      </c>
      <c r="C21" s="17">
        <v>4304</v>
      </c>
      <c r="E21" s="17">
        <v>-1369</v>
      </c>
      <c r="F21" s="17">
        <v>4304</v>
      </c>
      <c r="H21" s="17">
        <v>0</v>
      </c>
      <c r="I21" s="17">
        <f t="shared" ref="I21" si="1">E21-H21</f>
        <v>-1369</v>
      </c>
    </row>
    <row r="22" spans="1:12" ht="13.5" customHeight="1" x14ac:dyDescent="0.2">
      <c r="A22" s="12" t="s">
        <v>141</v>
      </c>
      <c r="B22" s="13">
        <f>-21591-B21-B20</f>
        <v>-5704</v>
      </c>
      <c r="C22" s="13">
        <v>-3239</v>
      </c>
      <c r="E22" s="13">
        <f>-36761-E20-E21</f>
        <v>-11874</v>
      </c>
      <c r="F22" s="13">
        <v>-4889</v>
      </c>
      <c r="H22" s="13">
        <f>657-15827+9000</f>
        <v>-6170</v>
      </c>
      <c r="I22" s="13">
        <f t="shared" si="0"/>
        <v>-5704</v>
      </c>
      <c r="K22" s="137"/>
    </row>
    <row r="23" spans="1:12" ht="13.5" customHeight="1" x14ac:dyDescent="0.2">
      <c r="A23" s="130"/>
      <c r="B23" s="13">
        <f>SUM(B13:B22)</f>
        <v>364807</v>
      </c>
      <c r="C23" s="13">
        <f>SUM(C13:C22)</f>
        <v>503652</v>
      </c>
      <c r="D23" s="135"/>
      <c r="E23" s="13">
        <f>SUM(E13:E22)</f>
        <v>793930</v>
      </c>
      <c r="F23" s="13">
        <f>SUM(F13:F22)</f>
        <v>982056</v>
      </c>
      <c r="H23" s="13">
        <f>SUM(H13:H22)</f>
        <v>429123</v>
      </c>
      <c r="I23" s="13">
        <f t="shared" si="0"/>
        <v>364807</v>
      </c>
    </row>
    <row r="24" spans="1:12" ht="13.5" customHeight="1" x14ac:dyDescent="0.2">
      <c r="A24" s="130"/>
      <c r="B24" s="17"/>
      <c r="C24" s="17"/>
      <c r="E24" s="17"/>
      <c r="F24" s="17"/>
      <c r="H24" s="17"/>
      <c r="I24" s="17"/>
    </row>
    <row r="25" spans="1:12" ht="13.5" customHeight="1" x14ac:dyDescent="0.2">
      <c r="A25" s="15" t="s">
        <v>137</v>
      </c>
      <c r="B25" s="17">
        <f>+B10-B23</f>
        <v>-45286</v>
      </c>
      <c r="C25" s="17">
        <f>+C10-C23</f>
        <v>66570</v>
      </c>
      <c r="D25" s="135"/>
      <c r="E25" s="17">
        <f>+E10-E23</f>
        <v>-69177</v>
      </c>
      <c r="F25" s="17">
        <f>+F10-F23</f>
        <v>143349</v>
      </c>
      <c r="H25" s="17">
        <f>+H10-H23</f>
        <v>-23891</v>
      </c>
      <c r="I25" s="17">
        <f t="shared" si="0"/>
        <v>-45286</v>
      </c>
    </row>
    <row r="26" spans="1:12" ht="13.5" customHeight="1" x14ac:dyDescent="0.2">
      <c r="A26" s="130"/>
      <c r="B26" s="17"/>
      <c r="C26" s="17"/>
      <c r="E26" s="17"/>
      <c r="F26" s="17"/>
      <c r="H26" s="17"/>
      <c r="I26" s="17"/>
    </row>
    <row r="27" spans="1:12" ht="13.5" customHeight="1" x14ac:dyDescent="0.2">
      <c r="A27" s="11" t="s">
        <v>7</v>
      </c>
      <c r="B27" s="17"/>
      <c r="C27" s="17"/>
      <c r="E27" s="17"/>
      <c r="F27" s="17"/>
      <c r="H27" s="17"/>
      <c r="I27" s="17"/>
    </row>
    <row r="28" spans="1:12" ht="13.5" customHeight="1" x14ac:dyDescent="0.2">
      <c r="A28" s="12" t="s">
        <v>8</v>
      </c>
      <c r="B28" s="17">
        <v>-3523</v>
      </c>
      <c r="C28" s="17">
        <v>-4375</v>
      </c>
      <c r="E28" s="17">
        <v>-6911</v>
      </c>
      <c r="F28" s="17">
        <v>-8807</v>
      </c>
      <c r="H28" s="17">
        <v>-3388</v>
      </c>
      <c r="I28" s="17">
        <f t="shared" si="0"/>
        <v>-3523</v>
      </c>
    </row>
    <row r="29" spans="1:12" ht="13.5" customHeight="1" x14ac:dyDescent="0.2">
      <c r="A29" s="12" t="s">
        <v>9</v>
      </c>
      <c r="B29" s="17">
        <v>1793</v>
      </c>
      <c r="C29" s="17">
        <v>2088</v>
      </c>
      <c r="E29" s="17">
        <v>3052</v>
      </c>
      <c r="F29" s="17">
        <v>4231</v>
      </c>
      <c r="H29" s="17">
        <v>1259</v>
      </c>
      <c r="I29" s="17">
        <f t="shared" si="0"/>
        <v>1793</v>
      </c>
      <c r="J29" s="135"/>
    </row>
    <row r="30" spans="1:12" ht="13.5" customHeight="1" x14ac:dyDescent="0.2">
      <c r="A30" s="130"/>
      <c r="B30" s="14">
        <f>SUM(B28:B29)</f>
        <v>-1730</v>
      </c>
      <c r="C30" s="14">
        <f>SUM(C28:C29)</f>
        <v>-2287</v>
      </c>
      <c r="E30" s="14">
        <f>SUM(E28:E29)</f>
        <v>-3859</v>
      </c>
      <c r="F30" s="14">
        <f>SUM(F28:F29)</f>
        <v>-4576</v>
      </c>
      <c r="H30" s="14">
        <f>SUM(H28:H29)</f>
        <v>-2129</v>
      </c>
      <c r="I30" s="14">
        <f t="shared" si="0"/>
        <v>-1730</v>
      </c>
    </row>
    <row r="31" spans="1:12" ht="13.5" customHeight="1" x14ac:dyDescent="0.2">
      <c r="A31" s="130"/>
      <c r="B31" s="17"/>
      <c r="C31" s="17"/>
      <c r="E31" s="17"/>
      <c r="F31" s="17"/>
      <c r="H31" s="17"/>
      <c r="I31" s="17"/>
      <c r="L31" s="138"/>
    </row>
    <row r="32" spans="1:12" ht="13.5" customHeight="1" x14ac:dyDescent="0.2">
      <c r="A32" s="130" t="s">
        <v>135</v>
      </c>
      <c r="B32" s="17">
        <f>B25+B30</f>
        <v>-47016</v>
      </c>
      <c r="C32" s="17">
        <f>C25+C30</f>
        <v>64283</v>
      </c>
      <c r="D32" s="135"/>
      <c r="E32" s="17">
        <f>E25+E30</f>
        <v>-73036</v>
      </c>
      <c r="F32" s="17">
        <f>F25+F30</f>
        <v>138773</v>
      </c>
      <c r="H32" s="17">
        <f>H25+H30</f>
        <v>-26020</v>
      </c>
      <c r="I32" s="17">
        <f t="shared" si="0"/>
        <v>-47016</v>
      </c>
      <c r="L32" s="139"/>
    </row>
    <row r="33" spans="1:9" ht="13.5" customHeight="1" x14ac:dyDescent="0.2">
      <c r="A33" s="130"/>
      <c r="B33" s="17"/>
      <c r="C33" s="17"/>
      <c r="E33" s="126"/>
      <c r="F33" s="17"/>
      <c r="H33" s="17"/>
      <c r="I33" s="17"/>
    </row>
    <row r="34" spans="1:9" ht="13.5" customHeight="1" x14ac:dyDescent="0.2">
      <c r="A34" s="16" t="s">
        <v>120</v>
      </c>
      <c r="B34" s="17"/>
      <c r="C34" s="17"/>
      <c r="E34" s="126"/>
      <c r="F34" s="17"/>
      <c r="H34" s="17"/>
      <c r="I34" s="17"/>
    </row>
    <row r="35" spans="1:9" ht="13.5" customHeight="1" x14ac:dyDescent="0.2">
      <c r="A35" s="12" t="s">
        <v>112</v>
      </c>
      <c r="B35" s="17">
        <v>-1102</v>
      </c>
      <c r="C35" s="17">
        <v>-1336</v>
      </c>
      <c r="E35" s="17">
        <v>-2198</v>
      </c>
      <c r="F35" s="17">
        <v>-3102</v>
      </c>
      <c r="G35" s="135"/>
      <c r="H35" s="17">
        <v>-1096</v>
      </c>
      <c r="I35" s="17">
        <f t="shared" si="0"/>
        <v>-1102</v>
      </c>
    </row>
    <row r="36" spans="1:9" ht="13.5" customHeight="1" x14ac:dyDescent="0.2">
      <c r="A36" s="12" t="s">
        <v>64</v>
      </c>
      <c r="B36" s="13">
        <v>0</v>
      </c>
      <c r="C36" s="13">
        <v>-16</v>
      </c>
      <c r="E36" s="13">
        <v>26</v>
      </c>
      <c r="F36" s="13">
        <v>71</v>
      </c>
      <c r="H36" s="13">
        <v>26</v>
      </c>
      <c r="I36" s="13">
        <f t="shared" si="0"/>
        <v>0</v>
      </c>
    </row>
    <row r="37" spans="1:9" ht="13.5" customHeight="1" x14ac:dyDescent="0.2">
      <c r="A37" s="12"/>
      <c r="B37" s="14">
        <f>SUM(B35:B36)</f>
        <v>-1102</v>
      </c>
      <c r="C37" s="14">
        <f>SUM(C35:C36)</f>
        <v>-1352</v>
      </c>
      <c r="E37" s="14">
        <f>SUM(E35:E36)</f>
        <v>-2172</v>
      </c>
      <c r="F37" s="14">
        <f>SUM(F35:F36)</f>
        <v>-3031</v>
      </c>
      <c r="H37" s="14">
        <f>SUM(H35:H36)</f>
        <v>-1070</v>
      </c>
      <c r="I37" s="14">
        <f t="shared" si="0"/>
        <v>-1102</v>
      </c>
    </row>
    <row r="38" spans="1:9" ht="13.5" customHeight="1" x14ac:dyDescent="0.2">
      <c r="A38" s="130"/>
      <c r="B38" s="17"/>
      <c r="C38" s="17"/>
      <c r="E38" s="17"/>
      <c r="F38" s="17"/>
      <c r="H38" s="17"/>
      <c r="I38" s="17">
        <f t="shared" si="0"/>
        <v>0</v>
      </c>
    </row>
    <row r="39" spans="1:9" ht="13.5" customHeight="1" x14ac:dyDescent="0.2">
      <c r="A39" s="126" t="s">
        <v>132</v>
      </c>
      <c r="B39" s="17">
        <f>B32+B37</f>
        <v>-48118</v>
      </c>
      <c r="C39" s="17">
        <f>C32+C37</f>
        <v>62931</v>
      </c>
      <c r="D39" s="135"/>
      <c r="E39" s="17">
        <f>E32+E37</f>
        <v>-75208</v>
      </c>
      <c r="F39" s="17">
        <f>F32+F37</f>
        <v>135742</v>
      </c>
      <c r="H39" s="17">
        <f>H32+H37</f>
        <v>-27090</v>
      </c>
      <c r="I39" s="17">
        <f t="shared" si="0"/>
        <v>-48118</v>
      </c>
    </row>
    <row r="40" spans="1:9" ht="13.5" customHeight="1" x14ac:dyDescent="0.2">
      <c r="A40" s="126" t="s">
        <v>119</v>
      </c>
      <c r="B40" s="13">
        <v>1206</v>
      </c>
      <c r="C40" s="13">
        <v>91</v>
      </c>
      <c r="E40" s="13">
        <v>-585</v>
      </c>
      <c r="F40" s="13">
        <v>161</v>
      </c>
      <c r="H40" s="13">
        <v>-1791</v>
      </c>
      <c r="I40" s="13">
        <f t="shared" si="0"/>
        <v>1206</v>
      </c>
    </row>
    <row r="41" spans="1:9" ht="13.5" customHeight="1" x14ac:dyDescent="0.2">
      <c r="A41" s="126"/>
      <c r="B41" s="17"/>
      <c r="C41" s="17"/>
      <c r="E41" s="17"/>
      <c r="F41" s="17"/>
      <c r="H41" s="17"/>
      <c r="I41" s="17">
        <f t="shared" si="0"/>
        <v>0</v>
      </c>
    </row>
    <row r="42" spans="1:9" ht="13.5" customHeight="1" thickBot="1" x14ac:dyDescent="0.25">
      <c r="A42" s="18" t="s">
        <v>133</v>
      </c>
      <c r="B42" s="19">
        <f>B39-B40</f>
        <v>-49324</v>
      </c>
      <c r="C42" s="19">
        <f>C39-C40</f>
        <v>62840</v>
      </c>
      <c r="D42" s="135"/>
      <c r="E42" s="19">
        <f>E39-E40</f>
        <v>-74623</v>
      </c>
      <c r="F42" s="19">
        <f>F39-F40</f>
        <v>135581</v>
      </c>
      <c r="H42" s="19">
        <f>H39-H40</f>
        <v>-25299</v>
      </c>
      <c r="I42" s="19">
        <f t="shared" si="0"/>
        <v>-49324</v>
      </c>
    </row>
    <row r="43" spans="1:9" ht="13.5" customHeight="1" thickTop="1" x14ac:dyDescent="0.2">
      <c r="A43" s="16"/>
      <c r="B43" s="102"/>
      <c r="C43" s="102"/>
    </row>
    <row r="44" spans="1:9" ht="13.5" customHeight="1" x14ac:dyDescent="0.2">
      <c r="A44" s="11" t="s">
        <v>134</v>
      </c>
      <c r="B44" s="102"/>
      <c r="C44" s="102"/>
      <c r="E44" s="134"/>
    </row>
    <row r="45" spans="1:9" ht="13.5" customHeight="1" thickBot="1" x14ac:dyDescent="0.25">
      <c r="A45" s="126" t="s">
        <v>93</v>
      </c>
      <c r="B45" s="60">
        <f>ROUND(B42/B49,2)</f>
        <v>-3.26</v>
      </c>
      <c r="C45" s="60">
        <f>ROUND(C42/C49,2)</f>
        <v>3.8</v>
      </c>
      <c r="E45" s="60">
        <f>ROUND(E42/E49,2)</f>
        <v>-4.93</v>
      </c>
      <c r="F45" s="60">
        <f>ROUND(F42/F49,2)</f>
        <v>7.97</v>
      </c>
      <c r="H45" s="105"/>
      <c r="I45" s="105"/>
    </row>
    <row r="46" spans="1:9" ht="13.5" customHeight="1" thickTop="1" thickBot="1" x14ac:dyDescent="0.25">
      <c r="A46" s="126" t="s">
        <v>94</v>
      </c>
      <c r="B46" s="60">
        <f>ROUND(B42/B50,2)</f>
        <v>-3.26</v>
      </c>
      <c r="C46" s="60">
        <f>ROUND(C42/C50,2)</f>
        <v>3.53</v>
      </c>
      <c r="E46" s="48">
        <f>ROUND(E42/E50,2)</f>
        <v>-4.93</v>
      </c>
      <c r="F46" s="48">
        <f>ROUND(F42/F50,2)</f>
        <v>7.45</v>
      </c>
      <c r="H46" s="106"/>
      <c r="I46" s="106"/>
    </row>
    <row r="47" spans="1:9" ht="13.5" customHeight="1" thickTop="1" x14ac:dyDescent="0.2">
      <c r="A47" s="130"/>
      <c r="B47" s="59"/>
      <c r="C47" s="59"/>
      <c r="E47" s="59"/>
      <c r="F47" s="59"/>
      <c r="H47" s="59"/>
      <c r="I47" s="59"/>
    </row>
    <row r="48" spans="1:9" ht="13.5" customHeight="1" x14ac:dyDescent="0.2">
      <c r="A48" s="16" t="s">
        <v>87</v>
      </c>
      <c r="B48" s="59"/>
      <c r="C48" s="59"/>
      <c r="E48" s="59"/>
      <c r="F48" s="59"/>
      <c r="H48" s="59"/>
      <c r="I48" s="59"/>
    </row>
    <row r="49" spans="1:9" ht="13.5" customHeight="1" thickBot="1" x14ac:dyDescent="0.25">
      <c r="A49" s="126" t="s">
        <v>70</v>
      </c>
      <c r="B49" s="61">
        <v>15145</v>
      </c>
      <c r="C49" s="61">
        <v>16543</v>
      </c>
      <c r="E49" s="61">
        <v>15142</v>
      </c>
      <c r="F49" s="61">
        <v>17018</v>
      </c>
      <c r="H49" s="17"/>
      <c r="I49" s="17"/>
    </row>
    <row r="50" spans="1:9" ht="13.5" customHeight="1" thickTop="1" thickBot="1" x14ac:dyDescent="0.25">
      <c r="A50" s="126" t="s">
        <v>10</v>
      </c>
      <c r="B50" s="61">
        <v>15145</v>
      </c>
      <c r="C50" s="61">
        <v>17781</v>
      </c>
      <c r="E50" s="61">
        <v>15142</v>
      </c>
      <c r="F50" s="61">
        <v>18190</v>
      </c>
      <c r="H50" s="17"/>
      <c r="I50" s="17"/>
    </row>
    <row r="51" spans="1:9" ht="13.5" customHeight="1" thickTop="1" x14ac:dyDescent="0.2">
      <c r="A51" s="130"/>
      <c r="B51" s="59"/>
      <c r="C51" s="59"/>
      <c r="E51" s="59"/>
      <c r="F51" s="59"/>
      <c r="H51" s="59"/>
      <c r="I51" s="59"/>
    </row>
    <row r="52" spans="1:9" ht="13.5" customHeight="1" thickBot="1" x14ac:dyDescent="0.25">
      <c r="A52" s="130" t="s">
        <v>88</v>
      </c>
      <c r="B52" s="60">
        <v>0</v>
      </c>
      <c r="C52" s="60">
        <v>0.45</v>
      </c>
      <c r="E52" s="48">
        <v>0.5</v>
      </c>
      <c r="F52" s="48">
        <v>0.9</v>
      </c>
      <c r="H52" s="106"/>
      <c r="I52" s="106"/>
    </row>
    <row r="53" spans="1:9" ht="13.5" customHeight="1" thickTop="1" x14ac:dyDescent="0.2">
      <c r="A53" s="130"/>
      <c r="B53" s="102"/>
      <c r="C53" s="102"/>
      <c r="E53" s="59"/>
      <c r="F53" s="59"/>
      <c r="H53" s="59"/>
      <c r="I53" s="59"/>
    </row>
    <row r="54" spans="1:9" ht="13.5" customHeight="1" thickBot="1" x14ac:dyDescent="0.25">
      <c r="A54" s="11" t="s">
        <v>123</v>
      </c>
      <c r="B54" s="103">
        <f>'Reconciliation page'!B26</f>
        <v>-10732</v>
      </c>
      <c r="C54" s="104">
        <f>'Reconciliation page'!C26</f>
        <v>105564</v>
      </c>
      <c r="E54" s="20">
        <f>'Reconciliation page'!E26</f>
        <v>2183</v>
      </c>
      <c r="F54" s="20">
        <f>'Reconciliation page'!F26</f>
        <v>212818</v>
      </c>
      <c r="H54" s="42"/>
      <c r="I54" s="42"/>
    </row>
    <row r="55" spans="1:9" ht="36.75" customHeight="1" thickTop="1" x14ac:dyDescent="0.2">
      <c r="A55" s="152" t="s">
        <v>117</v>
      </c>
      <c r="B55" s="152"/>
      <c r="C55" s="152"/>
      <c r="D55" s="152"/>
      <c r="E55" s="152"/>
      <c r="F55" s="152"/>
      <c r="H55" s="140"/>
      <c r="I55" s="140"/>
    </row>
    <row r="56" spans="1:9" ht="13.5" customHeight="1" x14ac:dyDescent="0.2">
      <c r="A56" s="130"/>
      <c r="B56" s="130"/>
    </row>
    <row r="57" spans="1:9" ht="13.5" customHeight="1" x14ac:dyDescent="0.2">
      <c r="A57" s="130"/>
      <c r="B57" s="10"/>
    </row>
    <row r="58" spans="1:9" ht="13.5" customHeight="1" x14ac:dyDescent="0.2">
      <c r="A58" s="130"/>
      <c r="B58" s="121"/>
      <c r="E58" s="123"/>
    </row>
    <row r="59" spans="1:9" ht="13.5" customHeight="1" x14ac:dyDescent="0.2">
      <c r="A59" s="130"/>
      <c r="B59" s="122"/>
      <c r="E59" s="122"/>
    </row>
    <row r="60" spans="1:9" ht="13.5" customHeight="1" x14ac:dyDescent="0.2">
      <c r="A60" s="130"/>
      <c r="B60" s="130"/>
    </row>
    <row r="61" spans="1:9" ht="13.5" customHeight="1" x14ac:dyDescent="0.2">
      <c r="A61" s="21"/>
      <c r="B61" s="21"/>
    </row>
    <row r="62" spans="1:9" ht="13.5" customHeight="1" x14ac:dyDescent="0.2">
      <c r="A62" s="21"/>
      <c r="B62" s="21"/>
    </row>
    <row r="63" spans="1:9" ht="13.5" customHeight="1" x14ac:dyDescent="0.2">
      <c r="A63" s="5"/>
      <c r="B63" s="5"/>
    </row>
    <row r="64" spans="1:9" ht="13.5" customHeight="1" x14ac:dyDescent="0.2">
      <c r="A64" s="5"/>
      <c r="B64" s="5"/>
    </row>
    <row r="65" spans="1:2" ht="13.5" customHeight="1" x14ac:dyDescent="0.2">
      <c r="A65" s="5"/>
      <c r="B65" s="5"/>
    </row>
    <row r="66" spans="1:2" ht="13.5" customHeight="1" x14ac:dyDescent="0.2">
      <c r="A66" s="5"/>
      <c r="B66" s="5"/>
    </row>
    <row r="67" spans="1:2" ht="13.5" customHeight="1" x14ac:dyDescent="0.2">
      <c r="A67" s="5"/>
      <c r="B67" s="5"/>
    </row>
    <row r="68" spans="1:2" ht="13.5" customHeight="1" x14ac:dyDescent="0.2">
      <c r="A68" s="5"/>
      <c r="B68" s="5"/>
    </row>
    <row r="69" spans="1:2" ht="13.5" customHeight="1" x14ac:dyDescent="0.2">
      <c r="A69" s="5"/>
      <c r="B69" s="5"/>
    </row>
    <row r="70" spans="1:2" ht="13.5" customHeight="1" x14ac:dyDescent="0.2">
      <c r="A70" s="5"/>
      <c r="B70" s="5"/>
    </row>
    <row r="71" spans="1:2" ht="13.5" customHeight="1" x14ac:dyDescent="0.2">
      <c r="A71" s="5"/>
      <c r="B71" s="5"/>
    </row>
    <row r="72" spans="1:2" ht="13.5" customHeight="1" x14ac:dyDescent="0.2">
      <c r="A72" s="5"/>
      <c r="B72" s="5"/>
    </row>
    <row r="73" spans="1:2" ht="13.5" customHeight="1" x14ac:dyDescent="0.2">
      <c r="A73" s="5"/>
      <c r="B73" s="5"/>
    </row>
    <row r="74" spans="1:2" ht="13.5" customHeight="1" x14ac:dyDescent="0.2">
      <c r="A74" s="5"/>
      <c r="B74" s="5"/>
    </row>
    <row r="75" spans="1:2" ht="13.5" customHeight="1" x14ac:dyDescent="0.2">
      <c r="A75" s="5"/>
      <c r="B75" s="5"/>
    </row>
    <row r="76" spans="1:2" ht="13.5" customHeight="1" x14ac:dyDescent="0.2">
      <c r="A76" s="5"/>
      <c r="B76" s="5"/>
    </row>
    <row r="77" spans="1:2" ht="13.5" customHeight="1" x14ac:dyDescent="0.2">
      <c r="A77" s="5"/>
      <c r="B77" s="5"/>
    </row>
    <row r="78" spans="1:2" ht="13.5" customHeight="1" x14ac:dyDescent="0.2">
      <c r="A78" s="5"/>
      <c r="B78" s="5"/>
    </row>
    <row r="79" spans="1:2" ht="13.5" customHeight="1" x14ac:dyDescent="0.2">
      <c r="A79" s="5"/>
      <c r="B79" s="5"/>
    </row>
    <row r="80" spans="1:2" ht="13.5" customHeight="1" x14ac:dyDescent="0.2">
      <c r="A80" s="5"/>
      <c r="B80" s="5"/>
    </row>
    <row r="81" spans="1:2" ht="13.5" customHeight="1" x14ac:dyDescent="0.2">
      <c r="A81" s="5"/>
      <c r="B81" s="5"/>
    </row>
    <row r="82" spans="1:2" ht="13.5" customHeight="1" x14ac:dyDescent="0.2">
      <c r="A82" s="5"/>
      <c r="B82" s="5"/>
    </row>
    <row r="83" spans="1:2" ht="13.5" customHeight="1" x14ac:dyDescent="0.2">
      <c r="A83" s="5"/>
      <c r="B83" s="5"/>
    </row>
    <row r="84" spans="1:2" ht="13.5" customHeight="1" x14ac:dyDescent="0.2">
      <c r="A84" s="5"/>
      <c r="B84" s="5"/>
    </row>
    <row r="85" spans="1:2" ht="13.5" customHeight="1" x14ac:dyDescent="0.2">
      <c r="A85" s="5"/>
      <c r="B85" s="5"/>
    </row>
    <row r="86" spans="1:2" ht="13.5" customHeight="1" x14ac:dyDescent="0.2">
      <c r="A86" s="5"/>
      <c r="B86" s="5"/>
    </row>
    <row r="87" spans="1:2" ht="13.5" customHeight="1" x14ac:dyDescent="0.2">
      <c r="A87" s="5"/>
      <c r="B87" s="5"/>
    </row>
    <row r="88" spans="1:2" ht="13.5" customHeight="1" x14ac:dyDescent="0.2">
      <c r="A88" s="5"/>
      <c r="B88" s="5"/>
    </row>
    <row r="89" spans="1:2" ht="13.5" customHeight="1" x14ac:dyDescent="0.2">
      <c r="A89" s="5"/>
      <c r="B89" s="5"/>
    </row>
    <row r="90" spans="1:2" ht="13.5" customHeight="1" x14ac:dyDescent="0.2">
      <c r="A90" s="5"/>
      <c r="B90" s="5"/>
    </row>
    <row r="91" spans="1:2" ht="13.5" customHeight="1" x14ac:dyDescent="0.2">
      <c r="A91" s="5"/>
      <c r="B91" s="5"/>
    </row>
    <row r="92" spans="1:2" ht="13.5" customHeight="1" x14ac:dyDescent="0.2">
      <c r="A92" s="5"/>
      <c r="B92" s="5"/>
    </row>
    <row r="93" spans="1:2" ht="13.5" customHeight="1" x14ac:dyDescent="0.2">
      <c r="A93" s="5"/>
      <c r="B93" s="5"/>
    </row>
    <row r="94" spans="1:2" ht="13.5" customHeight="1" x14ac:dyDescent="0.2">
      <c r="A94" s="5"/>
      <c r="B94" s="5"/>
    </row>
    <row r="95" spans="1:2" ht="13.5" customHeight="1" x14ac:dyDescent="0.2">
      <c r="A95" s="5"/>
      <c r="B95" s="5"/>
    </row>
    <row r="96" spans="1:2" ht="13.5" customHeight="1" x14ac:dyDescent="0.2">
      <c r="A96" s="5"/>
      <c r="B96" s="5"/>
    </row>
    <row r="97" spans="1:2" ht="13.5" customHeight="1" x14ac:dyDescent="0.2">
      <c r="A97" s="5"/>
      <c r="B97" s="5"/>
    </row>
    <row r="98" spans="1:2" ht="13.5" customHeight="1" x14ac:dyDescent="0.2">
      <c r="A98" s="5"/>
      <c r="B98" s="5"/>
    </row>
    <row r="99" spans="1:2" ht="13.5" customHeight="1" x14ac:dyDescent="0.2">
      <c r="A99" s="5"/>
      <c r="B99" s="5"/>
    </row>
    <row r="100" spans="1:2" ht="13.5" customHeight="1" x14ac:dyDescent="0.2">
      <c r="A100" s="5"/>
      <c r="B100" s="5"/>
    </row>
    <row r="101" spans="1:2" ht="13.5" customHeight="1" x14ac:dyDescent="0.2">
      <c r="A101" s="5"/>
      <c r="B101" s="5"/>
    </row>
    <row r="102" spans="1:2" ht="13.5" customHeight="1" x14ac:dyDescent="0.2">
      <c r="A102" s="5"/>
      <c r="B102" s="5"/>
    </row>
    <row r="103" spans="1:2" ht="13.5" customHeight="1" x14ac:dyDescent="0.2">
      <c r="A103" s="5"/>
      <c r="B103" s="5"/>
    </row>
    <row r="104" spans="1:2" ht="13.5" customHeight="1" x14ac:dyDescent="0.2">
      <c r="A104" s="5"/>
      <c r="B104" s="5"/>
    </row>
  </sheetData>
  <mergeCells count="8">
    <mergeCell ref="A1:F1"/>
    <mergeCell ref="A2:F2"/>
    <mergeCell ref="A3:F3"/>
    <mergeCell ref="A55:F55"/>
    <mergeCell ref="E6:F6"/>
    <mergeCell ref="B6:C6"/>
    <mergeCell ref="B8:C8"/>
    <mergeCell ref="E8:F8"/>
  </mergeCells>
  <pageMargins left="0.7" right="0.7" top="0.75" bottom="0.75" header="0.3" footer="0.3"/>
  <pageSetup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39997558519241921"/>
    <pageSetUpPr fitToPage="1"/>
  </sheetPr>
  <dimension ref="A1:G62"/>
  <sheetViews>
    <sheetView zoomScaleNormal="100" workbookViewId="0">
      <selection activeCell="A32" sqref="A32"/>
    </sheetView>
  </sheetViews>
  <sheetFormatPr defaultColWidth="21.5" defaultRowHeight="13.5" customHeight="1" x14ac:dyDescent="0.2"/>
  <cols>
    <col min="1" max="1" width="65.33203125" style="128" customWidth="1"/>
    <col min="2" max="2" width="16.5" style="128" customWidth="1"/>
    <col min="3" max="3" width="16" style="128" customWidth="1"/>
    <col min="4" max="4" width="21.5" style="128" customWidth="1"/>
    <col min="5" max="5" width="26.1640625" style="138" hidden="1" customWidth="1"/>
    <col min="6" max="6" width="21.5" style="128" hidden="1" customWidth="1"/>
    <col min="7" max="16384" width="21.5" style="128"/>
  </cols>
  <sheetData>
    <row r="1" spans="1:4" ht="13.5" customHeight="1" x14ac:dyDescent="0.25">
      <c r="A1" s="151" t="s">
        <v>152</v>
      </c>
      <c r="B1" s="155"/>
      <c r="C1" s="155"/>
    </row>
    <row r="2" spans="1:4" ht="13.5" customHeight="1" x14ac:dyDescent="0.25">
      <c r="A2" s="151" t="s">
        <v>11</v>
      </c>
      <c r="B2" s="155"/>
      <c r="C2" s="155"/>
    </row>
    <row r="3" spans="1:4" ht="13.5" customHeight="1" x14ac:dyDescent="0.25">
      <c r="A3" s="151" t="s">
        <v>12</v>
      </c>
      <c r="B3" s="155"/>
      <c r="C3" s="155"/>
    </row>
    <row r="4" spans="1:4" ht="13.5" customHeight="1" x14ac:dyDescent="0.2">
      <c r="A4" s="127"/>
      <c r="B4" s="127"/>
      <c r="C4" s="127"/>
      <c r="D4" s="127"/>
    </row>
    <row r="5" spans="1:4" ht="13.5" customHeight="1" x14ac:dyDescent="0.2">
      <c r="A5" s="127"/>
      <c r="B5" s="40"/>
      <c r="C5" s="40"/>
      <c r="D5" s="127"/>
    </row>
    <row r="6" spans="1:4" ht="13.5" customHeight="1" x14ac:dyDescent="0.2">
      <c r="A6" s="127"/>
      <c r="B6" s="41" t="s">
        <v>157</v>
      </c>
      <c r="C6" s="40" t="s">
        <v>57</v>
      </c>
      <c r="D6" s="127"/>
    </row>
    <row r="7" spans="1:4" ht="13.5" customHeight="1" x14ac:dyDescent="0.2">
      <c r="A7" s="127"/>
      <c r="B7" s="95">
        <v>2020</v>
      </c>
      <c r="C7" s="95">
        <v>2019</v>
      </c>
      <c r="D7" s="127"/>
    </row>
    <row r="8" spans="1:4" ht="13.5" customHeight="1" x14ac:dyDescent="0.2">
      <c r="A8" s="127"/>
      <c r="B8" s="37" t="s">
        <v>1</v>
      </c>
      <c r="C8" s="35"/>
      <c r="D8" s="127"/>
    </row>
    <row r="9" spans="1:4" ht="13.5" customHeight="1" x14ac:dyDescent="0.2">
      <c r="A9" s="6" t="s">
        <v>13</v>
      </c>
      <c r="B9" s="7"/>
      <c r="C9" s="127"/>
      <c r="D9" s="127"/>
    </row>
    <row r="10" spans="1:4" ht="13.5" customHeight="1" x14ac:dyDescent="0.2">
      <c r="A10" s="6" t="s">
        <v>14</v>
      </c>
      <c r="B10" s="7"/>
      <c r="C10" s="127"/>
      <c r="D10" s="127"/>
    </row>
    <row r="11" spans="1:4" ht="13.5" customHeight="1" x14ac:dyDescent="0.2">
      <c r="A11" s="1" t="s">
        <v>15</v>
      </c>
      <c r="B11" s="42">
        <v>150022</v>
      </c>
      <c r="C11" s="42">
        <v>153020</v>
      </c>
      <c r="D11" s="109"/>
    </row>
    <row r="12" spans="1:4" ht="13.5" customHeight="1" x14ac:dyDescent="0.2">
      <c r="A12" s="1" t="s">
        <v>118</v>
      </c>
      <c r="B12" s="32">
        <v>67237</v>
      </c>
      <c r="C12" s="32">
        <v>135667</v>
      </c>
      <c r="D12" s="127"/>
    </row>
    <row r="13" spans="1:4" ht="13.5" customHeight="1" x14ac:dyDescent="0.2">
      <c r="A13" s="1" t="s">
        <v>17</v>
      </c>
      <c r="B13" s="32">
        <v>118835</v>
      </c>
      <c r="C13" s="32">
        <v>168125</v>
      </c>
      <c r="D13" s="127"/>
    </row>
    <row r="14" spans="1:4" ht="13.5" customHeight="1" x14ac:dyDescent="0.2">
      <c r="A14" s="1" t="s">
        <v>18</v>
      </c>
      <c r="B14" s="32">
        <v>2960</v>
      </c>
      <c r="C14" s="32">
        <v>21143</v>
      </c>
      <c r="D14" s="127"/>
    </row>
    <row r="15" spans="1:4" ht="12.75" x14ac:dyDescent="0.2">
      <c r="A15" s="1" t="s">
        <v>19</v>
      </c>
      <c r="B15" s="32">
        <v>154690</v>
      </c>
      <c r="C15" s="32">
        <v>130898</v>
      </c>
      <c r="D15" s="31"/>
    </row>
    <row r="16" spans="1:4" ht="12.75" hidden="1" x14ac:dyDescent="0.2">
      <c r="A16" s="1" t="s">
        <v>20</v>
      </c>
      <c r="B16" s="32"/>
      <c r="C16" s="32"/>
      <c r="D16" s="127"/>
    </row>
    <row r="17" spans="1:4" ht="12.75" hidden="1" x14ac:dyDescent="0.2">
      <c r="A17" s="1" t="s">
        <v>22</v>
      </c>
      <c r="B17" s="32"/>
      <c r="C17" s="32"/>
      <c r="D17" s="127"/>
    </row>
    <row r="18" spans="1:4" ht="12.75" hidden="1" x14ac:dyDescent="0.2">
      <c r="A18" s="1" t="s">
        <v>21</v>
      </c>
      <c r="B18" s="32"/>
      <c r="C18" s="32"/>
      <c r="D18" s="127"/>
    </row>
    <row r="19" spans="1:4" ht="12.75" x14ac:dyDescent="0.2">
      <c r="A19" s="1" t="s">
        <v>23</v>
      </c>
      <c r="B19" s="26">
        <f>65627+5131</f>
        <v>70758</v>
      </c>
      <c r="C19" s="26">
        <f>500+5724+91670</f>
        <v>97894</v>
      </c>
      <c r="D19" s="31"/>
    </row>
    <row r="20" spans="1:4" ht="13.5" customHeight="1" x14ac:dyDescent="0.2">
      <c r="A20" s="1" t="s">
        <v>24</v>
      </c>
      <c r="B20" s="43">
        <f>SUM(B11:B19)</f>
        <v>564502</v>
      </c>
      <c r="C20" s="24">
        <f>SUM(C11:C19)</f>
        <v>706747</v>
      </c>
      <c r="D20" s="31"/>
    </row>
    <row r="21" spans="1:4" ht="13.5" customHeight="1" x14ac:dyDescent="0.2">
      <c r="A21" s="127"/>
      <c r="B21" s="36"/>
      <c r="C21" s="23"/>
      <c r="D21" s="127"/>
    </row>
    <row r="22" spans="1:4" ht="13.5" customHeight="1" x14ac:dyDescent="0.2">
      <c r="A22" s="6" t="s">
        <v>25</v>
      </c>
      <c r="B22" s="32">
        <v>1066614</v>
      </c>
      <c r="C22" s="32">
        <v>984509</v>
      </c>
      <c r="D22" s="127"/>
    </row>
    <row r="23" spans="1:4" ht="13.5" customHeight="1" x14ac:dyDescent="0.2">
      <c r="A23" s="127"/>
      <c r="B23" s="36"/>
      <c r="C23" s="36"/>
      <c r="D23" s="127"/>
    </row>
    <row r="24" spans="1:4" ht="13.5" customHeight="1" x14ac:dyDescent="0.2">
      <c r="A24" s="6" t="s">
        <v>26</v>
      </c>
      <c r="B24" s="36"/>
      <c r="C24" s="36"/>
      <c r="D24" s="127"/>
    </row>
    <row r="25" spans="1:4" ht="13.5" customHeight="1" x14ac:dyDescent="0.2">
      <c r="A25" s="1" t="s">
        <v>27</v>
      </c>
      <c r="B25" s="32">
        <v>106125</v>
      </c>
      <c r="C25" s="32">
        <v>105588</v>
      </c>
      <c r="D25" s="127"/>
    </row>
    <row r="26" spans="1:4" ht="13.5" customHeight="1" x14ac:dyDescent="0.2">
      <c r="A26" s="1" t="s">
        <v>28</v>
      </c>
      <c r="B26" s="26">
        <f>62048+3100</f>
        <v>65148</v>
      </c>
      <c r="C26" s="26">
        <f>82+1600+69230</f>
        <v>70912</v>
      </c>
      <c r="D26" s="127"/>
    </row>
    <row r="27" spans="1:4" ht="13.5" customHeight="1" x14ac:dyDescent="0.2">
      <c r="A27" s="3" t="s">
        <v>29</v>
      </c>
      <c r="B27" s="26">
        <f>SUM(B25:B26)</f>
        <v>171273</v>
      </c>
      <c r="C27" s="26">
        <f>SUM(C25:C26)</f>
        <v>176500</v>
      </c>
      <c r="D27" s="127"/>
    </row>
    <row r="28" spans="1:4" ht="13.5" customHeight="1" thickBot="1" x14ac:dyDescent="0.25">
      <c r="A28" s="128" t="s">
        <v>30</v>
      </c>
      <c r="B28" s="27">
        <f>+B27+B22+B20</f>
        <v>1802389</v>
      </c>
      <c r="C28" s="27">
        <f>+C20+C22+C27</f>
        <v>1867756</v>
      </c>
      <c r="D28" s="127"/>
    </row>
    <row r="29" spans="1:4" ht="13.5" customHeight="1" thickTop="1" x14ac:dyDescent="0.2">
      <c r="A29" s="127"/>
      <c r="B29" s="36"/>
      <c r="C29" s="23"/>
      <c r="D29" s="127"/>
    </row>
    <row r="30" spans="1:4" ht="13.5" customHeight="1" x14ac:dyDescent="0.2">
      <c r="A30" s="6" t="s">
        <v>80</v>
      </c>
      <c r="B30" s="36"/>
      <c r="C30" s="23"/>
      <c r="D30" s="127"/>
    </row>
    <row r="31" spans="1:4" ht="13.5" customHeight="1" x14ac:dyDescent="0.2">
      <c r="A31" s="6" t="s">
        <v>169</v>
      </c>
      <c r="B31" s="36"/>
      <c r="C31" s="23"/>
      <c r="D31" s="127"/>
    </row>
    <row r="32" spans="1:4" ht="13.5" customHeight="1" x14ac:dyDescent="0.2">
      <c r="A32" s="1" t="s">
        <v>31</v>
      </c>
      <c r="B32" s="38">
        <f>103764+700</f>
        <v>104464</v>
      </c>
      <c r="C32" s="38">
        <f>132467+593</f>
        <v>133060</v>
      </c>
      <c r="D32" s="127"/>
    </row>
    <row r="33" spans="1:7" ht="13.5" customHeight="1" x14ac:dyDescent="0.2">
      <c r="A33" s="1" t="s">
        <v>32</v>
      </c>
      <c r="B33" s="32">
        <v>143304</v>
      </c>
      <c r="C33" s="32">
        <f>157064+103</f>
        <v>157167</v>
      </c>
      <c r="D33" s="127"/>
    </row>
    <row r="34" spans="1:7" ht="13.5" customHeight="1" x14ac:dyDescent="0.2">
      <c r="A34" s="1" t="s">
        <v>33</v>
      </c>
      <c r="B34" s="26">
        <v>25702</v>
      </c>
      <c r="C34" s="26">
        <v>20753</v>
      </c>
      <c r="D34" s="127"/>
    </row>
    <row r="35" spans="1:7" ht="13.5" customHeight="1" x14ac:dyDescent="0.2">
      <c r="A35" s="3" t="s">
        <v>34</v>
      </c>
      <c r="B35" s="32">
        <f>SUM(B32:B34)</f>
        <v>273470</v>
      </c>
      <c r="C35" s="32">
        <f>SUM(C32:C34)</f>
        <v>310980</v>
      </c>
      <c r="D35" s="127"/>
    </row>
    <row r="36" spans="1:7" ht="13.5" customHeight="1" x14ac:dyDescent="0.2">
      <c r="A36" s="1" t="s">
        <v>35</v>
      </c>
      <c r="B36" s="32">
        <v>323854</v>
      </c>
      <c r="C36" s="32">
        <v>290066</v>
      </c>
      <c r="D36" s="127"/>
    </row>
    <row r="37" spans="1:7" ht="13.5" customHeight="1" x14ac:dyDescent="0.2">
      <c r="A37" s="1" t="s">
        <v>36</v>
      </c>
      <c r="B37" s="32">
        <v>238883</v>
      </c>
      <c r="C37" s="32">
        <v>242432</v>
      </c>
      <c r="D37" s="127"/>
    </row>
    <row r="38" spans="1:7" ht="13.5" customHeight="1" x14ac:dyDescent="0.2">
      <c r="A38" s="1" t="s">
        <v>37</v>
      </c>
      <c r="B38" s="32">
        <v>13875</v>
      </c>
      <c r="C38" s="32">
        <v>5476</v>
      </c>
      <c r="D38" s="127"/>
    </row>
    <row r="39" spans="1:7" ht="13.5" customHeight="1" x14ac:dyDescent="0.2">
      <c r="A39" s="1" t="s">
        <v>38</v>
      </c>
      <c r="B39" s="32">
        <v>86772</v>
      </c>
      <c r="C39" s="32">
        <v>80567</v>
      </c>
      <c r="D39" s="127"/>
    </row>
    <row r="40" spans="1:7" ht="13.5" customHeight="1" x14ac:dyDescent="0.2">
      <c r="A40" s="1" t="s">
        <v>39</v>
      </c>
      <c r="B40" s="32">
        <v>219095</v>
      </c>
      <c r="C40" s="32">
        <v>215599</v>
      </c>
      <c r="D40" s="127"/>
    </row>
    <row r="41" spans="1:7" ht="12.95" hidden="1" customHeight="1" x14ac:dyDescent="0.2">
      <c r="A41" s="1" t="s">
        <v>22</v>
      </c>
      <c r="B41" s="32"/>
      <c r="C41" s="32"/>
      <c r="D41" s="127"/>
    </row>
    <row r="42" spans="1:7" ht="13.5" customHeight="1" x14ac:dyDescent="0.2">
      <c r="A42" s="1" t="s">
        <v>40</v>
      </c>
      <c r="B42" s="26">
        <f>98655+3</f>
        <v>98658</v>
      </c>
      <c r="C42" s="26">
        <f>82051+45+4</f>
        <v>82100</v>
      </c>
      <c r="D42" s="127"/>
    </row>
    <row r="43" spans="1:7" ht="13.5" customHeight="1" x14ac:dyDescent="0.2">
      <c r="A43" s="3" t="s">
        <v>67</v>
      </c>
      <c r="B43" s="32">
        <f>SUM(B35:B42)</f>
        <v>1254607</v>
      </c>
      <c r="C43" s="32">
        <f>SUM(C35:C42)</f>
        <v>1227220</v>
      </c>
      <c r="D43" s="4"/>
    </row>
    <row r="44" spans="1:7" ht="13.5" customHeight="1" x14ac:dyDescent="0.2">
      <c r="A44" s="127"/>
      <c r="B44" s="36"/>
      <c r="C44" s="23"/>
      <c r="D44" s="127"/>
    </row>
    <row r="45" spans="1:7" ht="13.5" customHeight="1" x14ac:dyDescent="0.2">
      <c r="A45" s="6" t="s">
        <v>79</v>
      </c>
      <c r="B45" s="36"/>
      <c r="C45" s="23"/>
      <c r="D45" s="127"/>
    </row>
    <row r="46" spans="1:7" ht="13.5" customHeight="1" x14ac:dyDescent="0.2">
      <c r="A46" s="1" t="s">
        <v>41</v>
      </c>
      <c r="B46" s="32">
        <v>252</v>
      </c>
      <c r="C46" s="32">
        <v>252</v>
      </c>
      <c r="D46" s="127"/>
    </row>
    <row r="47" spans="1:7" ht="13.5" customHeight="1" x14ac:dyDescent="0.2">
      <c r="A47" s="1" t="s">
        <v>42</v>
      </c>
      <c r="B47" s="32">
        <v>739156</v>
      </c>
      <c r="C47" s="32">
        <v>730551</v>
      </c>
      <c r="D47" s="127"/>
    </row>
    <row r="48" spans="1:7" ht="13.5" customHeight="1" x14ac:dyDescent="0.2">
      <c r="A48" s="1" t="s">
        <v>84</v>
      </c>
      <c r="B48" s="32">
        <v>648909</v>
      </c>
      <c r="C48" s="32">
        <v>731425</v>
      </c>
      <c r="D48" s="4"/>
      <c r="F48" s="139"/>
      <c r="G48" s="135"/>
    </row>
    <row r="49" spans="1:7" ht="13.5" customHeight="1" x14ac:dyDescent="0.2">
      <c r="A49" s="1" t="s">
        <v>85</v>
      </c>
      <c r="B49" s="32">
        <v>-827381</v>
      </c>
      <c r="C49" s="32">
        <v>-827381</v>
      </c>
      <c r="D49" s="4"/>
      <c r="F49" s="139"/>
    </row>
    <row r="50" spans="1:7" ht="13.5" customHeight="1" x14ac:dyDescent="0.2">
      <c r="A50" s="1" t="s">
        <v>148</v>
      </c>
      <c r="B50" s="26">
        <v>-13154</v>
      </c>
      <c r="C50" s="26">
        <v>5689</v>
      </c>
      <c r="D50" s="31"/>
    </row>
    <row r="51" spans="1:7" ht="13.5" customHeight="1" x14ac:dyDescent="0.2">
      <c r="A51" s="3" t="s">
        <v>82</v>
      </c>
      <c r="B51" s="28">
        <f>SUM(B46:B50)</f>
        <v>547782</v>
      </c>
      <c r="C51" s="28">
        <f>SUM(C46:C50)</f>
        <v>640536</v>
      </c>
      <c r="D51" s="127"/>
    </row>
    <row r="52" spans="1:7" ht="13.5" customHeight="1" thickBot="1" x14ac:dyDescent="0.25">
      <c r="A52" s="128" t="s">
        <v>83</v>
      </c>
      <c r="B52" s="27">
        <f>+B43+B51</f>
        <v>1802389</v>
      </c>
      <c r="C52" s="27">
        <f>+C43+C51</f>
        <v>1867756</v>
      </c>
      <c r="D52" s="127"/>
    </row>
    <row r="53" spans="1:7" ht="13.5" customHeight="1" thickTop="1" x14ac:dyDescent="0.2">
      <c r="A53" s="127"/>
      <c r="B53" s="127"/>
      <c r="C53" s="127"/>
      <c r="D53" s="127"/>
    </row>
    <row r="54" spans="1:7" ht="13.5" customHeight="1" x14ac:dyDescent="0.2">
      <c r="B54" s="135"/>
      <c r="C54" s="135"/>
    </row>
    <row r="55" spans="1:7" ht="13.5" customHeight="1" x14ac:dyDescent="0.2">
      <c r="B55" s="137"/>
      <c r="C55" s="135"/>
      <c r="E55" s="138" t="s">
        <v>89</v>
      </c>
      <c r="F55" s="137">
        <f>C48</f>
        <v>731425</v>
      </c>
    </row>
    <row r="56" spans="1:7" ht="13.5" customHeight="1" x14ac:dyDescent="0.2">
      <c r="B56" s="135"/>
      <c r="E56" s="138" t="s">
        <v>90</v>
      </c>
      <c r="F56" s="137">
        <f>'Income Statement'!E42</f>
        <v>-74623</v>
      </c>
    </row>
    <row r="57" spans="1:7" ht="13.5" customHeight="1" x14ac:dyDescent="0.2">
      <c r="B57" s="135"/>
      <c r="E57" s="138" t="s">
        <v>91</v>
      </c>
      <c r="F57" s="148">
        <f>-F61-F62</f>
        <v>-7893</v>
      </c>
      <c r="G57" s="138"/>
    </row>
    <row r="58" spans="1:7" ht="13.5" customHeight="1" x14ac:dyDescent="0.2">
      <c r="B58" s="135"/>
      <c r="F58" s="137"/>
    </row>
    <row r="59" spans="1:7" ht="13.5" customHeight="1" thickBot="1" x14ac:dyDescent="0.25">
      <c r="F59" s="149">
        <f>SUM(F55:F58)</f>
        <v>648909</v>
      </c>
    </row>
    <row r="60" spans="1:7" ht="13.5" customHeight="1" thickTop="1" x14ac:dyDescent="0.2">
      <c r="F60" s="137"/>
    </row>
    <row r="61" spans="1:7" ht="13.5" customHeight="1" x14ac:dyDescent="0.2">
      <c r="E61" s="138" t="s">
        <v>45</v>
      </c>
      <c r="F61" s="137">
        <f>7566+5</f>
        <v>7571</v>
      </c>
    </row>
    <row r="62" spans="1:7" ht="13.5" customHeight="1" x14ac:dyDescent="0.2">
      <c r="E62" s="138" t="s">
        <v>92</v>
      </c>
      <c r="F62" s="135">
        <f>263+59</f>
        <v>322</v>
      </c>
    </row>
  </sheetData>
  <mergeCells count="3">
    <mergeCell ref="A1:C1"/>
    <mergeCell ref="A2:C2"/>
    <mergeCell ref="A3:C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39997558519241921"/>
    <pageSetUpPr fitToPage="1"/>
  </sheetPr>
  <dimension ref="A1:U90"/>
  <sheetViews>
    <sheetView workbookViewId="0">
      <selection activeCell="A32" sqref="A32"/>
    </sheetView>
  </sheetViews>
  <sheetFormatPr defaultColWidth="21.5" defaultRowHeight="12.75" x14ac:dyDescent="0.2"/>
  <cols>
    <col min="1" max="1" width="80.6640625" style="128" bestFit="1" customWidth="1"/>
    <col min="2" max="2" width="17.5" style="128" customWidth="1"/>
    <col min="3" max="3" width="17.5" style="140" customWidth="1"/>
    <col min="4" max="4" width="21.5" style="128" customWidth="1"/>
    <col min="5" max="5" width="20.83203125" style="128" hidden="1" customWidth="1"/>
    <col min="6" max="6" width="19.6640625" style="128" hidden="1" customWidth="1"/>
    <col min="7" max="16384" width="21.5" style="128"/>
  </cols>
  <sheetData>
    <row r="1" spans="1:21" ht="14.25" customHeight="1" x14ac:dyDescent="0.25">
      <c r="A1" s="151" t="s">
        <v>152</v>
      </c>
      <c r="B1" s="155"/>
      <c r="C1" s="155"/>
      <c r="D1" s="127"/>
      <c r="E1" s="127"/>
      <c r="F1" s="127"/>
      <c r="G1" s="127"/>
      <c r="H1" s="127"/>
      <c r="I1" s="127"/>
      <c r="J1" s="127"/>
      <c r="K1" s="127"/>
      <c r="L1" s="127"/>
      <c r="M1" s="127"/>
      <c r="N1" s="127"/>
      <c r="O1" s="127"/>
      <c r="P1" s="127"/>
      <c r="Q1" s="127"/>
      <c r="R1" s="127"/>
      <c r="S1" s="127"/>
      <c r="T1" s="127"/>
      <c r="U1" s="127"/>
    </row>
    <row r="2" spans="1:21" ht="14.25" customHeight="1" x14ac:dyDescent="0.25">
      <c r="A2" s="151" t="s">
        <v>56</v>
      </c>
      <c r="B2" s="155"/>
      <c r="C2" s="155"/>
      <c r="D2" s="127"/>
      <c r="E2" s="127"/>
      <c r="F2" s="127"/>
      <c r="G2" s="127"/>
      <c r="H2" s="127"/>
      <c r="I2" s="127"/>
      <c r="J2" s="127"/>
      <c r="K2" s="127"/>
      <c r="L2" s="127"/>
      <c r="M2" s="127"/>
      <c r="N2" s="127"/>
      <c r="O2" s="127"/>
      <c r="P2" s="127"/>
      <c r="Q2" s="127"/>
      <c r="R2" s="127"/>
      <c r="S2" s="127"/>
      <c r="T2" s="127"/>
      <c r="U2" s="127"/>
    </row>
    <row r="3" spans="1:21" ht="14.25" customHeight="1" x14ac:dyDescent="0.25">
      <c r="A3" s="151" t="s">
        <v>12</v>
      </c>
      <c r="B3" s="155"/>
      <c r="C3" s="155"/>
      <c r="D3" s="127"/>
      <c r="E3" s="127"/>
      <c r="F3" s="127"/>
      <c r="G3" s="127"/>
      <c r="H3" s="127"/>
      <c r="I3" s="127"/>
      <c r="J3" s="127"/>
      <c r="K3" s="127"/>
      <c r="L3" s="127"/>
      <c r="M3" s="127"/>
      <c r="N3" s="127"/>
      <c r="O3" s="127"/>
      <c r="P3" s="127"/>
      <c r="Q3" s="127"/>
      <c r="R3" s="127"/>
      <c r="S3" s="127"/>
      <c r="T3" s="127"/>
      <c r="U3" s="127"/>
    </row>
    <row r="4" spans="1:21" ht="6.75" customHeight="1" x14ac:dyDescent="0.2">
      <c r="A4" s="5"/>
      <c r="B4" s="127"/>
      <c r="C4" s="7"/>
      <c r="D4" s="127"/>
      <c r="E4" s="127"/>
      <c r="F4" s="127"/>
      <c r="G4" s="127"/>
      <c r="H4" s="127"/>
      <c r="I4" s="127"/>
      <c r="J4" s="127"/>
      <c r="K4" s="127"/>
      <c r="L4" s="127"/>
      <c r="M4" s="127"/>
      <c r="N4" s="127"/>
      <c r="O4" s="127"/>
      <c r="P4" s="127"/>
      <c r="Q4" s="127"/>
      <c r="R4" s="127"/>
      <c r="S4" s="127"/>
      <c r="T4" s="127"/>
      <c r="U4" s="127"/>
    </row>
    <row r="5" spans="1:21" ht="13.5" customHeight="1" x14ac:dyDescent="0.2">
      <c r="A5" s="127"/>
      <c r="B5" s="127"/>
      <c r="C5" s="7"/>
      <c r="D5" s="127"/>
      <c r="E5" s="127"/>
      <c r="F5" s="127"/>
      <c r="G5" s="127"/>
      <c r="H5" s="127"/>
      <c r="I5" s="127"/>
      <c r="J5" s="127"/>
      <c r="K5" s="127"/>
      <c r="L5" s="127"/>
      <c r="M5" s="127"/>
      <c r="N5" s="127"/>
      <c r="O5" s="127"/>
      <c r="P5" s="127"/>
      <c r="Q5" s="127"/>
      <c r="R5" s="127"/>
      <c r="S5" s="127"/>
      <c r="T5" s="127"/>
      <c r="U5" s="127"/>
    </row>
    <row r="6" spans="1:21" ht="13.5" customHeight="1" x14ac:dyDescent="0.2">
      <c r="A6" s="127"/>
      <c r="B6" s="153" t="s">
        <v>156</v>
      </c>
      <c r="C6" s="153"/>
      <c r="D6" s="127"/>
      <c r="E6" s="97" t="s">
        <v>144</v>
      </c>
      <c r="F6" s="97" t="s">
        <v>116</v>
      </c>
      <c r="G6" s="127"/>
      <c r="H6" s="127"/>
      <c r="I6" s="127"/>
      <c r="J6" s="127"/>
      <c r="K6" s="127"/>
      <c r="L6" s="127"/>
      <c r="M6" s="127"/>
      <c r="N6" s="127"/>
      <c r="O6" s="127"/>
      <c r="P6" s="127"/>
      <c r="Q6" s="127"/>
      <c r="R6" s="127"/>
      <c r="S6" s="127"/>
      <c r="T6" s="127"/>
      <c r="U6" s="127"/>
    </row>
    <row r="7" spans="1:21" x14ac:dyDescent="0.2">
      <c r="A7" s="127"/>
      <c r="B7" s="95">
        <v>2020</v>
      </c>
      <c r="C7" s="95">
        <v>2019</v>
      </c>
      <c r="D7" s="127"/>
      <c r="E7" s="96" t="s">
        <v>145</v>
      </c>
      <c r="F7" s="96" t="s">
        <v>146</v>
      </c>
      <c r="G7" s="127"/>
      <c r="H7" s="127"/>
      <c r="I7" s="127"/>
      <c r="J7" s="127"/>
      <c r="K7" s="127"/>
      <c r="L7" s="127"/>
      <c r="M7" s="127"/>
      <c r="N7" s="127"/>
      <c r="O7" s="127"/>
      <c r="P7" s="127"/>
      <c r="Q7" s="127"/>
      <c r="R7" s="127"/>
      <c r="S7" s="127"/>
      <c r="T7" s="127"/>
      <c r="U7" s="127"/>
    </row>
    <row r="8" spans="1:21" ht="13.5" customHeight="1" x14ac:dyDescent="0.2">
      <c r="A8" s="127"/>
      <c r="B8" s="154" t="s">
        <v>1</v>
      </c>
      <c r="C8" s="154"/>
      <c r="D8" s="127"/>
      <c r="E8" s="127"/>
      <c r="F8" s="127"/>
      <c r="G8" s="127"/>
      <c r="H8" s="127"/>
      <c r="I8" s="127"/>
      <c r="J8" s="127"/>
      <c r="K8" s="127"/>
      <c r="L8" s="127"/>
      <c r="M8" s="127"/>
      <c r="N8" s="127"/>
      <c r="O8" s="127"/>
      <c r="P8" s="127"/>
      <c r="Q8" s="127"/>
      <c r="R8" s="127"/>
      <c r="S8" s="127"/>
      <c r="T8" s="127"/>
      <c r="U8" s="127"/>
    </row>
    <row r="9" spans="1:21" ht="13.5" customHeight="1" x14ac:dyDescent="0.2">
      <c r="A9" s="6" t="s">
        <v>55</v>
      </c>
      <c r="B9" s="7"/>
      <c r="C9" s="7"/>
      <c r="D9" s="127"/>
      <c r="E9" s="127"/>
      <c r="F9" s="127"/>
      <c r="G9" s="127"/>
      <c r="H9" s="127"/>
      <c r="I9" s="127"/>
      <c r="J9" s="127"/>
      <c r="K9" s="127"/>
      <c r="L9" s="127"/>
      <c r="M9" s="127"/>
      <c r="N9" s="127"/>
      <c r="O9" s="127"/>
      <c r="P9" s="127"/>
      <c r="Q9" s="127"/>
      <c r="R9" s="127"/>
      <c r="S9" s="127"/>
      <c r="T9" s="127"/>
      <c r="U9" s="127"/>
    </row>
    <row r="10" spans="1:21" ht="13.5" customHeight="1" x14ac:dyDescent="0.2">
      <c r="A10" s="128" t="s">
        <v>133</v>
      </c>
      <c r="B10" s="42">
        <f>'Income Statement'!E42</f>
        <v>-74623</v>
      </c>
      <c r="C10" s="42">
        <f>'Income Statement'!F42</f>
        <v>135581</v>
      </c>
      <c r="D10" s="4"/>
      <c r="E10" s="42">
        <v>-25299</v>
      </c>
      <c r="F10" s="42">
        <f>B10-E10</f>
        <v>-49324</v>
      </c>
      <c r="G10" s="127"/>
      <c r="H10" s="127"/>
      <c r="I10" s="127"/>
      <c r="J10" s="127"/>
      <c r="K10" s="127"/>
      <c r="L10" s="127"/>
      <c r="M10" s="127"/>
      <c r="N10" s="127"/>
      <c r="O10" s="127"/>
      <c r="P10" s="127"/>
      <c r="Q10" s="127"/>
      <c r="R10" s="127"/>
      <c r="S10" s="127"/>
      <c r="T10" s="127"/>
      <c r="U10" s="127"/>
    </row>
    <row r="11" spans="1:21" ht="13.5" customHeight="1" x14ac:dyDescent="0.2">
      <c r="A11" s="128" t="s">
        <v>149</v>
      </c>
      <c r="B11" s="34"/>
      <c r="C11" s="34"/>
      <c r="D11" s="127"/>
      <c r="E11" s="34"/>
      <c r="F11" s="34"/>
      <c r="G11" s="127"/>
      <c r="H11" s="127"/>
      <c r="I11" s="127"/>
      <c r="J11" s="127"/>
      <c r="K11" s="127"/>
      <c r="L11" s="127"/>
      <c r="M11" s="127"/>
      <c r="N11" s="127"/>
      <c r="O11" s="127"/>
      <c r="P11" s="127"/>
      <c r="Q11" s="127"/>
      <c r="R11" s="127"/>
      <c r="S11" s="127"/>
      <c r="T11" s="127"/>
      <c r="U11" s="127"/>
    </row>
    <row r="12" spans="1:21" ht="13.5" customHeight="1" x14ac:dyDescent="0.2">
      <c r="A12" s="1" t="s">
        <v>4</v>
      </c>
      <c r="B12" s="32">
        <f>'Income Statement'!E14</f>
        <v>61475</v>
      </c>
      <c r="C12" s="32">
        <f>'Income Statement'!F14</f>
        <v>51873</v>
      </c>
      <c r="D12" s="127"/>
      <c r="E12" s="32">
        <v>31308</v>
      </c>
      <c r="F12" s="9">
        <f>B12-E12</f>
        <v>30167</v>
      </c>
      <c r="G12" s="127"/>
      <c r="H12" s="127"/>
      <c r="I12" s="127"/>
      <c r="J12" s="127"/>
      <c r="K12" s="127"/>
      <c r="L12" s="127"/>
      <c r="M12" s="127"/>
      <c r="N12" s="127"/>
      <c r="O12" s="127"/>
      <c r="P12" s="127"/>
      <c r="Q12" s="127"/>
      <c r="R12" s="127"/>
      <c r="S12" s="127"/>
      <c r="T12" s="127"/>
      <c r="U12" s="127"/>
    </row>
    <row r="13" spans="1:21" ht="13.5" customHeight="1" x14ac:dyDescent="0.2">
      <c r="A13" s="1" t="s">
        <v>69</v>
      </c>
      <c r="B13" s="32">
        <f>'Income Statement'!E15</f>
        <v>9992</v>
      </c>
      <c r="C13" s="32">
        <f>'Income Statement'!F15</f>
        <v>10274</v>
      </c>
      <c r="D13" s="127"/>
      <c r="E13" s="32">
        <v>5006</v>
      </c>
      <c r="F13" s="9">
        <f t="shared" ref="F13:F18" si="0">B13-E13</f>
        <v>4986</v>
      </c>
      <c r="G13" s="127"/>
      <c r="H13" s="127"/>
      <c r="I13" s="127"/>
      <c r="J13" s="127"/>
      <c r="K13" s="127"/>
      <c r="L13" s="127"/>
      <c r="M13" s="127"/>
      <c r="N13" s="127"/>
      <c r="O13" s="127"/>
      <c r="P13" s="127"/>
      <c r="Q13" s="127"/>
      <c r="R13" s="127"/>
      <c r="S13" s="127"/>
      <c r="T13" s="127"/>
      <c r="U13" s="127"/>
    </row>
    <row r="14" spans="1:21" x14ac:dyDescent="0.2">
      <c r="A14" s="1" t="s">
        <v>22</v>
      </c>
      <c r="B14" s="32">
        <v>13880</v>
      </c>
      <c r="C14" s="32">
        <v>13385</v>
      </c>
      <c r="D14" s="4"/>
      <c r="E14" s="32">
        <v>0</v>
      </c>
      <c r="F14" s="32">
        <f t="shared" si="0"/>
        <v>13880</v>
      </c>
      <c r="G14" s="127"/>
      <c r="H14" s="127"/>
      <c r="I14" s="127"/>
      <c r="J14" s="127"/>
      <c r="K14" s="127"/>
      <c r="L14" s="127"/>
      <c r="M14" s="127"/>
      <c r="N14" s="127"/>
      <c r="O14" s="127"/>
      <c r="P14" s="127"/>
      <c r="Q14" s="127"/>
      <c r="R14" s="127"/>
      <c r="S14" s="127"/>
      <c r="T14" s="127"/>
      <c r="U14" s="127"/>
    </row>
    <row r="15" spans="1:21" ht="13.5" customHeight="1" x14ac:dyDescent="0.2">
      <c r="A15" s="1" t="s">
        <v>54</v>
      </c>
      <c r="B15" s="32">
        <v>8936</v>
      </c>
      <c r="C15" s="32">
        <v>11473</v>
      </c>
      <c r="D15" s="127"/>
      <c r="E15" s="32">
        <v>3962</v>
      </c>
      <c r="F15" s="9">
        <f t="shared" si="0"/>
        <v>4974</v>
      </c>
      <c r="G15" s="127"/>
      <c r="H15" s="127"/>
      <c r="I15" s="127"/>
      <c r="J15" s="127"/>
      <c r="K15" s="127"/>
      <c r="L15" s="127"/>
      <c r="M15" s="127"/>
      <c r="N15" s="127"/>
      <c r="O15" s="127"/>
      <c r="P15" s="127"/>
      <c r="Q15" s="127"/>
      <c r="R15" s="127"/>
      <c r="S15" s="127"/>
      <c r="T15" s="127"/>
      <c r="U15" s="127"/>
    </row>
    <row r="16" spans="1:21" ht="13.5" customHeight="1" x14ac:dyDescent="0.2">
      <c r="A16" s="1" t="s">
        <v>166</v>
      </c>
      <c r="B16" s="32">
        <f>-352-2828</f>
        <v>-3180</v>
      </c>
      <c r="C16" s="32">
        <v>-1415</v>
      </c>
      <c r="D16" s="127"/>
      <c r="E16" s="32">
        <v>-214</v>
      </c>
      <c r="F16" s="9">
        <f t="shared" si="0"/>
        <v>-2966</v>
      </c>
      <c r="G16" s="127"/>
      <c r="H16" s="127"/>
      <c r="I16" s="127"/>
      <c r="J16" s="127"/>
      <c r="K16" s="127"/>
      <c r="L16" s="127"/>
      <c r="M16" s="127"/>
      <c r="N16" s="127"/>
      <c r="O16" s="127"/>
      <c r="P16" s="127"/>
      <c r="Q16" s="127"/>
      <c r="R16" s="127"/>
      <c r="S16" s="127"/>
      <c r="T16" s="127"/>
      <c r="U16" s="127"/>
    </row>
    <row r="17" spans="1:21" ht="13.5" customHeight="1" x14ac:dyDescent="0.2">
      <c r="A17" s="1" t="s">
        <v>53</v>
      </c>
      <c r="B17" s="32">
        <v>1946</v>
      </c>
      <c r="C17" s="32">
        <v>1826</v>
      </c>
      <c r="D17" s="127"/>
      <c r="E17" s="32">
        <v>971</v>
      </c>
      <c r="F17" s="9">
        <f t="shared" si="0"/>
        <v>975</v>
      </c>
      <c r="G17" s="127"/>
      <c r="H17" s="127"/>
      <c r="I17" s="127"/>
      <c r="J17" s="127"/>
      <c r="K17" s="127"/>
      <c r="L17" s="127"/>
      <c r="M17" s="127"/>
      <c r="N17" s="127"/>
      <c r="O17" s="127"/>
      <c r="P17" s="127"/>
      <c r="Q17" s="127"/>
      <c r="R17" s="127"/>
      <c r="S17" s="127"/>
      <c r="T17" s="127"/>
      <c r="U17" s="127"/>
    </row>
    <row r="18" spans="1:21" ht="13.5" customHeight="1" x14ac:dyDescent="0.2">
      <c r="A18" s="12" t="s">
        <v>147</v>
      </c>
      <c r="B18" s="32">
        <v>-23518</v>
      </c>
      <c r="C18" s="32">
        <v>0</v>
      </c>
      <c r="D18" s="127"/>
      <c r="E18" s="32">
        <v>-9000</v>
      </c>
      <c r="F18" s="9">
        <f t="shared" si="0"/>
        <v>-14518</v>
      </c>
      <c r="G18" s="127"/>
      <c r="H18" s="127"/>
      <c r="I18" s="127"/>
      <c r="J18" s="127"/>
      <c r="K18" s="127"/>
      <c r="L18" s="127"/>
      <c r="M18" s="127"/>
      <c r="N18" s="127"/>
      <c r="O18" s="127"/>
      <c r="P18" s="127"/>
      <c r="Q18" s="127"/>
      <c r="R18" s="127"/>
      <c r="S18" s="127"/>
      <c r="T18" s="127"/>
      <c r="U18" s="127"/>
    </row>
    <row r="19" spans="1:21" ht="13.5" customHeight="1" x14ac:dyDescent="0.2">
      <c r="A19" s="1" t="s">
        <v>52</v>
      </c>
      <c r="B19" s="36"/>
      <c r="C19" s="36"/>
      <c r="D19" s="127"/>
      <c r="E19" s="32"/>
      <c r="F19" s="34"/>
      <c r="G19" s="127"/>
      <c r="H19" s="127"/>
      <c r="I19" s="127"/>
      <c r="J19" s="127"/>
      <c r="K19" s="127"/>
      <c r="L19" s="127"/>
      <c r="M19" s="127"/>
      <c r="N19" s="127"/>
      <c r="O19" s="127"/>
      <c r="P19" s="127"/>
      <c r="Q19" s="127"/>
      <c r="R19" s="127"/>
      <c r="S19" s="127"/>
      <c r="T19" s="127"/>
      <c r="U19" s="127"/>
    </row>
    <row r="20" spans="1:21" ht="13.5" customHeight="1" x14ac:dyDescent="0.2">
      <c r="A20" s="3" t="s">
        <v>51</v>
      </c>
      <c r="B20" s="32">
        <v>55817</v>
      </c>
      <c r="C20" s="32">
        <v>17871</v>
      </c>
      <c r="D20" s="127"/>
      <c r="E20" s="36">
        <v>23728</v>
      </c>
      <c r="F20" s="9">
        <f t="shared" ref="F20:F24" si="1">B20-E20</f>
        <v>32089</v>
      </c>
      <c r="G20" s="127"/>
      <c r="H20" s="127"/>
      <c r="I20" s="127"/>
      <c r="J20" s="127"/>
      <c r="K20" s="127"/>
      <c r="L20" s="127"/>
      <c r="M20" s="127"/>
      <c r="N20" s="127"/>
      <c r="O20" s="127"/>
      <c r="P20" s="127"/>
      <c r="Q20" s="127"/>
      <c r="R20" s="127"/>
      <c r="S20" s="127"/>
      <c r="T20" s="127"/>
      <c r="U20" s="127"/>
    </row>
    <row r="21" spans="1:21" ht="13.5" customHeight="1" x14ac:dyDescent="0.2">
      <c r="A21" s="3" t="s">
        <v>19</v>
      </c>
      <c r="B21" s="32">
        <v>-23792</v>
      </c>
      <c r="C21" s="32">
        <v>-47370</v>
      </c>
      <c r="D21" s="127"/>
      <c r="E21" s="32">
        <v>-19088</v>
      </c>
      <c r="F21" s="9">
        <f t="shared" si="1"/>
        <v>-4704</v>
      </c>
      <c r="G21" s="127"/>
      <c r="H21" s="127"/>
      <c r="I21" s="127"/>
      <c r="J21" s="127"/>
      <c r="K21" s="127"/>
      <c r="L21" s="127"/>
      <c r="M21" s="127"/>
      <c r="N21" s="127"/>
      <c r="O21" s="127"/>
      <c r="P21" s="127"/>
      <c r="Q21" s="127"/>
      <c r="R21" s="127"/>
      <c r="S21" s="127"/>
      <c r="T21" s="127"/>
      <c r="U21" s="127"/>
    </row>
    <row r="22" spans="1:21" ht="13.5" customHeight="1" x14ac:dyDescent="0.2">
      <c r="A22" s="3" t="s">
        <v>50</v>
      </c>
      <c r="B22" s="32">
        <v>-42889</v>
      </c>
      <c r="C22" s="32">
        <f>1977+2520</f>
        <v>4497</v>
      </c>
      <c r="D22" s="4"/>
      <c r="E22" s="32">
        <v>-39201</v>
      </c>
      <c r="F22" s="9">
        <f t="shared" si="1"/>
        <v>-3688</v>
      </c>
      <c r="G22" s="127"/>
      <c r="H22" s="127"/>
      <c r="I22" s="127"/>
      <c r="J22" s="127"/>
      <c r="K22" s="127"/>
      <c r="L22" s="127"/>
      <c r="M22" s="127"/>
      <c r="N22" s="127"/>
      <c r="O22" s="127"/>
      <c r="P22" s="127"/>
      <c r="Q22" s="127"/>
      <c r="R22" s="127"/>
      <c r="S22" s="127"/>
      <c r="T22" s="127"/>
      <c r="U22" s="127"/>
    </row>
    <row r="23" spans="1:21" ht="13.5" customHeight="1" x14ac:dyDescent="0.2">
      <c r="A23" s="3" t="s">
        <v>81</v>
      </c>
      <c r="B23" s="32">
        <f>22917+1</f>
        <v>22918</v>
      </c>
      <c r="C23" s="32">
        <f>24669-94</f>
        <v>24575</v>
      </c>
      <c r="D23" s="4"/>
      <c r="E23" s="32">
        <v>-1073</v>
      </c>
      <c r="F23" s="9">
        <f t="shared" si="1"/>
        <v>23991</v>
      </c>
      <c r="G23" s="31"/>
      <c r="H23" s="127"/>
      <c r="I23" s="127"/>
      <c r="J23" s="127"/>
      <c r="K23" s="127"/>
      <c r="L23" s="127"/>
      <c r="M23" s="127"/>
      <c r="N23" s="127"/>
      <c r="O23" s="127"/>
      <c r="P23" s="127"/>
      <c r="Q23" s="127"/>
      <c r="R23" s="127"/>
      <c r="S23" s="127"/>
      <c r="T23" s="127"/>
      <c r="U23" s="127"/>
    </row>
    <row r="24" spans="1:21" ht="13.5" customHeight="1" x14ac:dyDescent="0.2">
      <c r="A24" s="1" t="s">
        <v>44</v>
      </c>
      <c r="B24" s="32">
        <f>124+102+301-177-1588+2110+401-6207+4093-1245+21047-1</f>
        <v>18960</v>
      </c>
      <c r="C24" s="32">
        <f>60+98+197-375-843+2722+4-21126-4261+4270-3171+25766-5</f>
        <v>3336</v>
      </c>
      <c r="D24" s="4"/>
      <c r="E24" s="32">
        <v>16865</v>
      </c>
      <c r="F24" s="9">
        <f t="shared" si="1"/>
        <v>2095</v>
      </c>
      <c r="G24" s="127"/>
      <c r="H24" s="127"/>
      <c r="I24" s="127"/>
      <c r="J24" s="127"/>
      <c r="K24" s="127"/>
      <c r="L24" s="127"/>
      <c r="M24" s="127"/>
      <c r="N24" s="127"/>
      <c r="O24" s="127"/>
      <c r="P24" s="127"/>
      <c r="Q24" s="127"/>
      <c r="R24" s="127"/>
      <c r="S24" s="127"/>
      <c r="T24" s="127"/>
      <c r="U24" s="127"/>
    </row>
    <row r="25" spans="1:21" ht="13.5" customHeight="1" x14ac:dyDescent="0.2">
      <c r="A25" s="8" t="s">
        <v>167</v>
      </c>
      <c r="B25" s="43">
        <f>SUM(B10:B24)</f>
        <v>25922</v>
      </c>
      <c r="C25" s="43">
        <f>SUM(C10:C24)</f>
        <v>225906</v>
      </c>
      <c r="D25" s="2"/>
      <c r="E25" s="29">
        <f>SUM(E10:E24)</f>
        <v>-12035</v>
      </c>
      <c r="F25" s="29">
        <f>SUM(F10:F24)</f>
        <v>37957</v>
      </c>
      <c r="G25" s="127"/>
      <c r="H25" s="4"/>
      <c r="I25" s="127"/>
      <c r="J25" s="127"/>
      <c r="K25" s="127"/>
      <c r="L25" s="127"/>
      <c r="M25" s="127"/>
      <c r="N25" s="127"/>
      <c r="O25" s="127"/>
      <c r="P25" s="127"/>
      <c r="Q25" s="127"/>
      <c r="R25" s="127"/>
      <c r="S25" s="127"/>
      <c r="T25" s="127"/>
      <c r="U25" s="127"/>
    </row>
    <row r="26" spans="1:21" ht="13.5" customHeight="1" x14ac:dyDescent="0.2">
      <c r="A26" s="127"/>
      <c r="B26" s="127"/>
      <c r="C26" s="36"/>
      <c r="D26" s="127"/>
      <c r="E26" s="63"/>
      <c r="F26" s="63"/>
      <c r="G26" s="127"/>
      <c r="H26" s="127"/>
      <c r="I26" s="127"/>
      <c r="J26" s="127"/>
      <c r="K26" s="127"/>
      <c r="L26" s="127"/>
      <c r="M26" s="127"/>
      <c r="N26" s="127"/>
      <c r="O26" s="127"/>
      <c r="P26" s="127"/>
      <c r="Q26" s="127"/>
      <c r="R26" s="127"/>
      <c r="S26" s="127"/>
      <c r="T26" s="127"/>
      <c r="U26" s="127"/>
    </row>
    <row r="27" spans="1:21" ht="13.5" customHeight="1" x14ac:dyDescent="0.2">
      <c r="A27" s="6" t="s">
        <v>49</v>
      </c>
      <c r="B27" s="127"/>
      <c r="C27" s="36"/>
      <c r="D27" s="127"/>
      <c r="E27" s="34"/>
      <c r="F27" s="34"/>
      <c r="G27" s="127"/>
      <c r="H27" s="127"/>
      <c r="I27" s="127"/>
      <c r="J27" s="127"/>
      <c r="K27" s="127"/>
      <c r="L27" s="127"/>
      <c r="M27" s="127"/>
      <c r="N27" s="127"/>
      <c r="O27" s="127"/>
      <c r="P27" s="127"/>
      <c r="Q27" s="127"/>
      <c r="R27" s="127"/>
      <c r="S27" s="127"/>
      <c r="T27" s="127"/>
      <c r="U27" s="127"/>
    </row>
    <row r="28" spans="1:21" ht="13.5" customHeight="1" x14ac:dyDescent="0.2">
      <c r="A28" s="1" t="s">
        <v>48</v>
      </c>
      <c r="B28" s="32">
        <v>-148561</v>
      </c>
      <c r="C28" s="32">
        <v>-87854</v>
      </c>
      <c r="D28" s="127"/>
      <c r="E28" s="32">
        <v>-87690</v>
      </c>
      <c r="F28" s="9">
        <f t="shared" ref="F28:F33" si="2">B28-E28</f>
        <v>-60871</v>
      </c>
      <c r="G28" s="127"/>
      <c r="H28" s="4"/>
      <c r="I28" s="127"/>
      <c r="J28" s="127"/>
      <c r="K28" s="127"/>
      <c r="L28" s="127"/>
      <c r="M28" s="127"/>
      <c r="N28" s="127"/>
      <c r="O28" s="127"/>
      <c r="P28" s="127"/>
      <c r="Q28" s="127"/>
      <c r="R28" s="127"/>
      <c r="S28" s="127"/>
      <c r="T28" s="127"/>
      <c r="U28" s="127"/>
    </row>
    <row r="29" spans="1:21" ht="13.5" customHeight="1" x14ac:dyDescent="0.2">
      <c r="A29" s="1" t="s">
        <v>68</v>
      </c>
      <c r="B29" s="32">
        <v>-1124</v>
      </c>
      <c r="C29" s="32">
        <v>-1125</v>
      </c>
      <c r="D29" s="127"/>
      <c r="E29" s="32">
        <v>-62</v>
      </c>
      <c r="F29" s="9">
        <f t="shared" si="2"/>
        <v>-1062</v>
      </c>
      <c r="G29" s="127"/>
      <c r="H29" s="127"/>
      <c r="I29" s="127"/>
      <c r="J29" s="127"/>
      <c r="K29" s="127"/>
      <c r="L29" s="127"/>
      <c r="M29" s="127"/>
      <c r="N29" s="127"/>
      <c r="O29" s="127"/>
      <c r="P29" s="127"/>
      <c r="Q29" s="127"/>
      <c r="R29" s="127"/>
      <c r="S29" s="127"/>
      <c r="T29" s="127"/>
      <c r="U29" s="127"/>
    </row>
    <row r="30" spans="1:21" ht="13.5" customHeight="1" x14ac:dyDescent="0.2">
      <c r="A30" s="1" t="s">
        <v>115</v>
      </c>
      <c r="B30" s="32">
        <v>562</v>
      </c>
      <c r="C30" s="32">
        <v>1591</v>
      </c>
      <c r="D30" s="127"/>
      <c r="E30" s="32">
        <v>233</v>
      </c>
      <c r="F30" s="9">
        <f t="shared" si="2"/>
        <v>329</v>
      </c>
      <c r="G30" s="127"/>
      <c r="H30" s="127"/>
      <c r="I30" s="127"/>
      <c r="J30" s="127"/>
      <c r="K30" s="127"/>
      <c r="L30" s="127"/>
      <c r="M30" s="127"/>
      <c r="N30" s="127"/>
      <c r="O30" s="127"/>
      <c r="P30" s="127"/>
      <c r="Q30" s="127"/>
      <c r="R30" s="127"/>
      <c r="S30" s="127"/>
      <c r="T30" s="127"/>
      <c r="U30" s="127"/>
    </row>
    <row r="31" spans="1:21" ht="13.5" customHeight="1" x14ac:dyDescent="0.2">
      <c r="A31" s="1" t="s">
        <v>173</v>
      </c>
      <c r="B31" s="32">
        <v>-17707</v>
      </c>
      <c r="C31" s="32">
        <v>-89454</v>
      </c>
      <c r="D31" s="127"/>
      <c r="E31" s="32">
        <v>-17196</v>
      </c>
      <c r="F31" s="9">
        <f t="shared" si="2"/>
        <v>-511</v>
      </c>
      <c r="G31" s="127"/>
      <c r="H31" s="127"/>
      <c r="I31" s="127"/>
      <c r="J31" s="127"/>
      <c r="K31" s="127"/>
      <c r="L31" s="127"/>
      <c r="M31" s="127"/>
      <c r="N31" s="127"/>
      <c r="O31" s="127"/>
      <c r="P31" s="127"/>
      <c r="Q31" s="127"/>
      <c r="R31" s="127"/>
      <c r="S31" s="127"/>
      <c r="T31" s="127"/>
      <c r="U31" s="127"/>
    </row>
    <row r="32" spans="1:21" ht="13.5" customHeight="1" x14ac:dyDescent="0.2">
      <c r="A32" s="1" t="s">
        <v>172</v>
      </c>
      <c r="B32" s="32">
        <v>86079</v>
      </c>
      <c r="C32" s="32">
        <v>90424</v>
      </c>
      <c r="D32" s="127"/>
      <c r="E32" s="32">
        <v>23221</v>
      </c>
      <c r="F32" s="9">
        <f t="shared" si="2"/>
        <v>62858</v>
      </c>
      <c r="G32" s="127"/>
      <c r="H32" s="127"/>
      <c r="I32" s="127"/>
      <c r="J32" s="127"/>
      <c r="K32" s="127"/>
      <c r="L32" s="127"/>
      <c r="M32" s="127"/>
      <c r="N32" s="127"/>
      <c r="O32" s="127"/>
      <c r="P32" s="127"/>
      <c r="Q32" s="127"/>
      <c r="R32" s="127"/>
      <c r="S32" s="127"/>
      <c r="T32" s="127"/>
      <c r="U32" s="127"/>
    </row>
    <row r="33" spans="1:21" ht="13.5" customHeight="1" x14ac:dyDescent="0.2">
      <c r="A33" s="1" t="s">
        <v>47</v>
      </c>
      <c r="B33" s="32">
        <v>-1059</v>
      </c>
      <c r="C33" s="32">
        <v>-3275</v>
      </c>
      <c r="D33" s="127"/>
      <c r="E33" s="32">
        <v>-739</v>
      </c>
      <c r="F33" s="9">
        <f t="shared" si="2"/>
        <v>-320</v>
      </c>
      <c r="G33" s="127"/>
      <c r="H33" s="127"/>
      <c r="I33" s="127"/>
      <c r="J33" s="127"/>
      <c r="K33" s="127"/>
      <c r="L33" s="127"/>
      <c r="M33" s="127"/>
      <c r="N33" s="127"/>
      <c r="O33" s="127"/>
      <c r="P33" s="127"/>
      <c r="Q33" s="127"/>
      <c r="R33" s="127"/>
      <c r="S33" s="127"/>
      <c r="T33" s="127"/>
      <c r="U33" s="127"/>
    </row>
    <row r="34" spans="1:21" ht="13.5" customHeight="1" x14ac:dyDescent="0.2">
      <c r="A34" s="12" t="s">
        <v>171</v>
      </c>
      <c r="B34" s="117">
        <v>23518</v>
      </c>
      <c r="C34" s="117">
        <v>0</v>
      </c>
      <c r="D34" s="127"/>
      <c r="E34" s="26">
        <v>7353</v>
      </c>
      <c r="F34" s="26">
        <f>B34-E34</f>
        <v>16165</v>
      </c>
      <c r="G34" s="127"/>
      <c r="H34" s="127"/>
      <c r="I34" s="127"/>
      <c r="J34" s="127"/>
      <c r="K34" s="127"/>
      <c r="L34" s="127"/>
      <c r="M34" s="127"/>
      <c r="N34" s="127"/>
      <c r="O34" s="127"/>
      <c r="P34" s="127"/>
      <c r="Q34" s="127"/>
      <c r="R34" s="127"/>
      <c r="S34" s="127"/>
      <c r="T34" s="127"/>
      <c r="U34" s="127"/>
    </row>
    <row r="35" spans="1:21" ht="13.5" customHeight="1" x14ac:dyDescent="0.2">
      <c r="A35" s="8" t="s">
        <v>121</v>
      </c>
      <c r="B35" s="32">
        <f>SUM(B28:B34)</f>
        <v>-58292</v>
      </c>
      <c r="C35" s="32">
        <f>SUM(C28:C34)</f>
        <v>-89693</v>
      </c>
      <c r="D35" s="4"/>
      <c r="E35" s="9">
        <f>SUM(E28:E34)</f>
        <v>-74880</v>
      </c>
      <c r="F35" s="9">
        <f>SUM(F28:F34)</f>
        <v>16588</v>
      </c>
      <c r="G35" s="127"/>
      <c r="H35" s="127"/>
      <c r="I35" s="127"/>
      <c r="J35" s="127"/>
      <c r="K35" s="127"/>
      <c r="L35" s="127"/>
      <c r="M35" s="127"/>
      <c r="N35" s="127"/>
      <c r="O35" s="127"/>
      <c r="P35" s="127"/>
      <c r="Q35" s="127"/>
      <c r="R35" s="127"/>
      <c r="S35" s="127"/>
      <c r="T35" s="127"/>
      <c r="U35" s="127"/>
    </row>
    <row r="36" spans="1:21" ht="13.5" customHeight="1" x14ac:dyDescent="0.2">
      <c r="A36" s="127"/>
      <c r="B36" s="36"/>
      <c r="C36" s="36"/>
      <c r="D36" s="127"/>
      <c r="G36" s="127"/>
      <c r="H36" s="127"/>
      <c r="I36" s="127"/>
      <c r="J36" s="127"/>
      <c r="K36" s="127"/>
      <c r="L36" s="127"/>
      <c r="M36" s="127"/>
      <c r="N36" s="127"/>
      <c r="O36" s="127"/>
      <c r="P36" s="127"/>
      <c r="Q36" s="127"/>
      <c r="R36" s="127"/>
      <c r="S36" s="127"/>
      <c r="T36" s="127"/>
      <c r="U36" s="127"/>
    </row>
    <row r="37" spans="1:21" ht="13.5" customHeight="1" x14ac:dyDescent="0.2">
      <c r="A37" s="6" t="s">
        <v>168</v>
      </c>
      <c r="B37" s="36"/>
      <c r="C37" s="36"/>
      <c r="D37" s="127"/>
      <c r="E37" s="34"/>
      <c r="F37" s="34"/>
      <c r="G37" s="127"/>
      <c r="H37" s="127"/>
      <c r="I37" s="127"/>
      <c r="J37" s="127"/>
      <c r="K37" s="127"/>
      <c r="L37" s="127"/>
      <c r="M37" s="127"/>
      <c r="N37" s="127"/>
      <c r="O37" s="127"/>
      <c r="P37" s="127"/>
      <c r="Q37" s="127"/>
      <c r="R37" s="127"/>
      <c r="S37" s="127"/>
      <c r="T37" s="127"/>
      <c r="U37" s="127"/>
    </row>
    <row r="38" spans="1:21" ht="13.5" customHeight="1" x14ac:dyDescent="0.2">
      <c r="A38" s="1" t="s">
        <v>111</v>
      </c>
      <c r="B38" s="32">
        <v>-1500</v>
      </c>
      <c r="C38" s="32">
        <v>-1500</v>
      </c>
      <c r="D38" s="127"/>
      <c r="E38" s="32">
        <v>-750</v>
      </c>
      <c r="F38" s="9">
        <f>B38-E38</f>
        <v>-750</v>
      </c>
      <c r="G38" s="127"/>
      <c r="H38" s="127"/>
      <c r="I38" s="127"/>
      <c r="J38" s="127"/>
      <c r="K38" s="127"/>
      <c r="L38" s="127"/>
      <c r="M38" s="127"/>
      <c r="N38" s="127"/>
      <c r="O38" s="127"/>
      <c r="P38" s="127"/>
      <c r="Q38" s="127"/>
      <c r="R38" s="127"/>
      <c r="S38" s="127"/>
      <c r="T38" s="127"/>
      <c r="U38" s="127"/>
    </row>
    <row r="39" spans="1:21" ht="13.5" customHeight="1" x14ac:dyDescent="0.2">
      <c r="A39" s="1" t="s">
        <v>150</v>
      </c>
      <c r="B39" s="32">
        <v>53611</v>
      </c>
      <c r="C39" s="32">
        <v>0</v>
      </c>
      <c r="D39" s="127"/>
      <c r="E39" s="32">
        <v>53611</v>
      </c>
      <c r="F39" s="9">
        <f>B39-E39</f>
        <v>0</v>
      </c>
      <c r="G39" s="127"/>
      <c r="H39" s="127"/>
      <c r="I39" s="127"/>
      <c r="J39" s="127"/>
      <c r="K39" s="127"/>
      <c r="L39" s="127"/>
      <c r="M39" s="127"/>
      <c r="N39" s="127"/>
      <c r="O39" s="127"/>
      <c r="P39" s="127"/>
      <c r="Q39" s="127"/>
      <c r="R39" s="127"/>
      <c r="S39" s="127"/>
      <c r="T39" s="127"/>
      <c r="U39" s="127"/>
    </row>
    <row r="40" spans="1:21" ht="13.5" customHeight="1" x14ac:dyDescent="0.2">
      <c r="A40" s="1" t="s">
        <v>151</v>
      </c>
      <c r="B40" s="32">
        <v>-13592</v>
      </c>
      <c r="C40" s="32">
        <v>-8845</v>
      </c>
      <c r="D40" s="127"/>
      <c r="E40" s="32">
        <v>-5544</v>
      </c>
      <c r="F40" s="9">
        <f t="shared" ref="F40:F45" si="3">B40-E40</f>
        <v>-8048</v>
      </c>
      <c r="G40" s="127"/>
      <c r="H40" s="127"/>
      <c r="I40" s="127"/>
      <c r="J40" s="127"/>
      <c r="K40" s="127"/>
      <c r="L40" s="127"/>
      <c r="M40" s="127"/>
      <c r="N40" s="127"/>
      <c r="O40" s="127"/>
      <c r="P40" s="127"/>
      <c r="Q40" s="127"/>
      <c r="R40" s="127"/>
      <c r="S40" s="127"/>
      <c r="T40" s="127"/>
      <c r="U40" s="127"/>
    </row>
    <row r="41" spans="1:21" ht="13.5" customHeight="1" x14ac:dyDescent="0.2">
      <c r="A41" s="1" t="s">
        <v>46</v>
      </c>
      <c r="B41" s="32">
        <v>-1171</v>
      </c>
      <c r="C41" s="32">
        <v>0</v>
      </c>
      <c r="D41" s="127"/>
      <c r="E41" s="32">
        <v>-422</v>
      </c>
      <c r="F41" s="9">
        <f t="shared" si="3"/>
        <v>-749</v>
      </c>
      <c r="G41" s="127"/>
      <c r="H41" s="127"/>
      <c r="I41" s="127"/>
      <c r="J41" s="127"/>
      <c r="K41" s="127"/>
      <c r="L41" s="127"/>
      <c r="M41" s="127"/>
      <c r="N41" s="127"/>
      <c r="O41" s="127"/>
      <c r="P41" s="127"/>
      <c r="Q41" s="127"/>
      <c r="R41" s="127"/>
      <c r="S41" s="127"/>
      <c r="T41" s="127"/>
      <c r="U41" s="127"/>
    </row>
    <row r="42" spans="1:21" ht="13.5" customHeight="1" x14ac:dyDescent="0.2">
      <c r="A42" s="1" t="s">
        <v>45</v>
      </c>
      <c r="B42" s="32">
        <v>-7645</v>
      </c>
      <c r="C42" s="32">
        <v>-15264</v>
      </c>
      <c r="D42" s="127"/>
      <c r="E42" s="32">
        <v>-7645</v>
      </c>
      <c r="F42" s="9">
        <f t="shared" si="3"/>
        <v>0</v>
      </c>
      <c r="G42" s="127"/>
      <c r="H42" s="127"/>
      <c r="I42" s="127"/>
      <c r="J42" s="127"/>
      <c r="K42" s="127"/>
      <c r="L42" s="127"/>
      <c r="M42" s="127"/>
      <c r="N42" s="127"/>
      <c r="O42" s="127"/>
      <c r="P42" s="127"/>
      <c r="Q42" s="127"/>
      <c r="R42" s="127"/>
      <c r="S42" s="127"/>
      <c r="T42" s="127"/>
      <c r="U42" s="127"/>
    </row>
    <row r="43" spans="1:21" ht="13.5" customHeight="1" x14ac:dyDescent="0.2">
      <c r="A43" s="1" t="s">
        <v>86</v>
      </c>
      <c r="B43" s="32">
        <v>0</v>
      </c>
      <c r="C43" s="32">
        <v>-143142</v>
      </c>
      <c r="D43" s="127"/>
      <c r="E43" s="32">
        <v>0</v>
      </c>
      <c r="F43" s="9">
        <f t="shared" si="3"/>
        <v>0</v>
      </c>
      <c r="G43" s="127"/>
      <c r="H43" s="127"/>
      <c r="I43" s="127"/>
      <c r="J43" s="127"/>
      <c r="K43" s="127"/>
      <c r="L43" s="127"/>
      <c r="M43" s="127"/>
      <c r="N43" s="127"/>
      <c r="O43" s="127"/>
      <c r="P43" s="127"/>
      <c r="Q43" s="127"/>
      <c r="R43" s="127"/>
      <c r="S43" s="127"/>
      <c r="T43" s="127"/>
      <c r="U43" s="127"/>
    </row>
    <row r="44" spans="1:21" ht="13.5" customHeight="1" x14ac:dyDescent="0.2">
      <c r="A44" s="1" t="s">
        <v>136</v>
      </c>
      <c r="B44" s="32">
        <v>-331</v>
      </c>
      <c r="C44" s="32">
        <v>0</v>
      </c>
      <c r="D44" s="127"/>
      <c r="E44" s="32">
        <v>-198</v>
      </c>
      <c r="F44" s="9">
        <f t="shared" si="3"/>
        <v>-133</v>
      </c>
      <c r="G44" s="127"/>
      <c r="H44" s="127"/>
      <c r="I44" s="127"/>
      <c r="J44" s="127"/>
      <c r="K44" s="127"/>
      <c r="L44" s="127"/>
      <c r="M44" s="127"/>
      <c r="N44" s="127"/>
      <c r="O44" s="127"/>
      <c r="P44" s="127"/>
      <c r="Q44" s="127"/>
      <c r="R44" s="127"/>
      <c r="S44" s="127"/>
      <c r="T44" s="127"/>
      <c r="U44" s="127"/>
    </row>
    <row r="45" spans="1:21" x14ac:dyDescent="0.2">
      <c r="A45" s="1" t="s">
        <v>44</v>
      </c>
      <c r="B45" s="26">
        <v>0</v>
      </c>
      <c r="C45" s="26">
        <v>30</v>
      </c>
      <c r="D45" s="127"/>
      <c r="E45" s="26">
        <v>0</v>
      </c>
      <c r="F45" s="25">
        <f t="shared" si="3"/>
        <v>0</v>
      </c>
      <c r="G45" s="127"/>
      <c r="H45" s="127"/>
      <c r="I45" s="127"/>
      <c r="J45" s="127"/>
      <c r="K45" s="127"/>
      <c r="L45" s="127"/>
      <c r="M45" s="127"/>
      <c r="N45" s="127"/>
      <c r="O45" s="127"/>
      <c r="P45" s="127"/>
      <c r="Q45" s="127"/>
      <c r="R45" s="127"/>
      <c r="S45" s="127"/>
      <c r="T45" s="127"/>
      <c r="U45" s="127"/>
    </row>
    <row r="46" spans="1:21" ht="13.5" customHeight="1" x14ac:dyDescent="0.2">
      <c r="A46" s="3" t="s">
        <v>143</v>
      </c>
      <c r="B46" s="26">
        <f>SUM(B38:B45)</f>
        <v>29372</v>
      </c>
      <c r="C46" s="26">
        <f>SUM(C38:C45)</f>
        <v>-168721</v>
      </c>
      <c r="D46" s="127"/>
      <c r="E46" s="25">
        <f>SUM(E38:E45)</f>
        <v>39052</v>
      </c>
      <c r="F46" s="25">
        <f>SUM(F38:F45)</f>
        <v>-9680</v>
      </c>
      <c r="G46" s="127"/>
      <c r="H46" s="127"/>
      <c r="I46" s="127"/>
      <c r="J46" s="127"/>
      <c r="K46" s="127"/>
      <c r="L46" s="127"/>
      <c r="M46" s="127"/>
      <c r="N46" s="127"/>
      <c r="O46" s="127"/>
      <c r="P46" s="127"/>
      <c r="Q46" s="127"/>
      <c r="R46" s="127"/>
      <c r="S46" s="127"/>
      <c r="T46" s="127"/>
      <c r="U46" s="127"/>
    </row>
    <row r="47" spans="1:21" ht="13.5" customHeight="1" x14ac:dyDescent="0.2">
      <c r="A47" s="127"/>
      <c r="B47" s="36"/>
      <c r="C47" s="36"/>
      <c r="D47" s="127"/>
      <c r="E47" s="34"/>
      <c r="F47" s="34"/>
      <c r="G47" s="127"/>
      <c r="H47" s="127"/>
      <c r="I47" s="127"/>
      <c r="J47" s="127"/>
      <c r="K47" s="127"/>
      <c r="L47" s="127"/>
      <c r="M47" s="127"/>
      <c r="N47" s="127"/>
      <c r="O47" s="127"/>
      <c r="P47" s="127"/>
      <c r="Q47" s="127"/>
      <c r="R47" s="127"/>
      <c r="S47" s="127"/>
      <c r="T47" s="127"/>
      <c r="U47" s="127"/>
    </row>
    <row r="48" spans="1:21" ht="13.5" customHeight="1" x14ac:dyDescent="0.2">
      <c r="A48" s="128" t="s">
        <v>138</v>
      </c>
      <c r="B48" s="32">
        <f>+B46+B35+B25</f>
        <v>-2998</v>
      </c>
      <c r="C48" s="32">
        <f>C25+C35+C46</f>
        <v>-32508</v>
      </c>
      <c r="D48" s="127"/>
      <c r="E48" s="9">
        <f>+E46+E35+E25</f>
        <v>-47863</v>
      </c>
      <c r="F48" s="9">
        <f>+F46+F35+F25</f>
        <v>44865</v>
      </c>
      <c r="G48" s="127"/>
      <c r="H48" s="127"/>
      <c r="I48" s="127"/>
      <c r="J48" s="127"/>
      <c r="K48" s="127"/>
      <c r="L48" s="127"/>
      <c r="M48" s="127"/>
      <c r="N48" s="127"/>
      <c r="O48" s="127"/>
      <c r="P48" s="127"/>
      <c r="Q48" s="127"/>
      <c r="R48" s="127"/>
      <c r="S48" s="127"/>
      <c r="T48" s="127"/>
      <c r="U48" s="127"/>
    </row>
    <row r="49" spans="1:21" ht="13.5" customHeight="1" x14ac:dyDescent="0.2">
      <c r="A49" s="128" t="s">
        <v>124</v>
      </c>
      <c r="B49" s="26">
        <v>153020</v>
      </c>
      <c r="C49" s="26">
        <v>264937</v>
      </c>
      <c r="D49" s="127"/>
      <c r="E49" s="25">
        <v>153020</v>
      </c>
      <c r="F49" s="25">
        <v>105157</v>
      </c>
      <c r="G49" s="127"/>
      <c r="H49" s="127"/>
      <c r="I49" s="127"/>
      <c r="J49" s="127"/>
      <c r="K49" s="127"/>
      <c r="L49" s="127"/>
      <c r="M49" s="127"/>
      <c r="N49" s="127"/>
      <c r="O49" s="127"/>
      <c r="P49" s="127"/>
      <c r="Q49" s="127"/>
      <c r="R49" s="127"/>
      <c r="S49" s="127"/>
      <c r="T49" s="127"/>
      <c r="U49" s="127"/>
    </row>
    <row r="50" spans="1:21" ht="13.5" customHeight="1" x14ac:dyDescent="0.2">
      <c r="A50" s="127"/>
      <c r="B50" s="34"/>
      <c r="C50" s="34"/>
      <c r="D50" s="127"/>
      <c r="E50" s="34"/>
      <c r="F50" s="34"/>
      <c r="G50" s="127"/>
      <c r="H50" s="127"/>
      <c r="I50" s="127"/>
      <c r="J50" s="127"/>
      <c r="K50" s="127"/>
      <c r="L50" s="127"/>
      <c r="M50" s="127"/>
      <c r="N50" s="127"/>
      <c r="O50" s="127"/>
      <c r="P50" s="127"/>
      <c r="Q50" s="127"/>
      <c r="R50" s="127"/>
      <c r="S50" s="127"/>
      <c r="T50" s="127"/>
      <c r="U50" s="127"/>
    </row>
    <row r="51" spans="1:21" ht="13.5" customHeight="1" thickBot="1" x14ac:dyDescent="0.25">
      <c r="A51" s="128" t="s">
        <v>125</v>
      </c>
      <c r="B51" s="20">
        <f>+B48+B49</f>
        <v>150022</v>
      </c>
      <c r="C51" s="20">
        <f>SUM(C48:C49)</f>
        <v>232429</v>
      </c>
      <c r="D51" s="127"/>
      <c r="E51" s="20">
        <f>+E48+E49</f>
        <v>105157</v>
      </c>
      <c r="F51" s="20">
        <f>+F48+F49</f>
        <v>150022</v>
      </c>
      <c r="G51" s="127"/>
      <c r="H51" s="127"/>
      <c r="I51" s="127"/>
      <c r="J51" s="127"/>
      <c r="K51" s="127"/>
      <c r="L51" s="127"/>
      <c r="M51" s="127"/>
      <c r="N51" s="127"/>
      <c r="O51" s="127"/>
      <c r="P51" s="127"/>
      <c r="Q51" s="127"/>
      <c r="R51" s="127"/>
      <c r="S51" s="127"/>
      <c r="T51" s="127"/>
      <c r="U51" s="127"/>
    </row>
    <row r="52" spans="1:21" ht="18.75" customHeight="1" thickTop="1" x14ac:dyDescent="0.2">
      <c r="A52" s="127"/>
      <c r="B52" s="130"/>
      <c r="C52" s="34"/>
      <c r="D52" s="127"/>
      <c r="E52" s="130"/>
      <c r="F52" s="130"/>
      <c r="G52" s="127"/>
      <c r="H52" s="127"/>
      <c r="I52" s="127"/>
      <c r="J52" s="127"/>
      <c r="K52" s="127"/>
      <c r="L52" s="127"/>
      <c r="M52" s="127"/>
      <c r="N52" s="127"/>
      <c r="O52" s="127"/>
      <c r="P52" s="127"/>
      <c r="Q52" s="127"/>
      <c r="R52" s="127"/>
      <c r="S52" s="127"/>
      <c r="T52" s="127"/>
      <c r="U52" s="127"/>
    </row>
    <row r="53" spans="1:21" ht="18.75" customHeight="1" x14ac:dyDescent="0.2">
      <c r="A53" s="89" t="s">
        <v>113</v>
      </c>
      <c r="B53" s="24"/>
      <c r="C53" s="32"/>
      <c r="D53" s="127"/>
      <c r="E53" s="24"/>
      <c r="F53" s="24"/>
      <c r="G53" s="127"/>
      <c r="H53" s="127"/>
      <c r="I53" s="127"/>
      <c r="J53" s="127"/>
      <c r="K53" s="127"/>
      <c r="L53" s="127"/>
      <c r="M53" s="127"/>
      <c r="N53" s="127"/>
      <c r="O53" s="127"/>
      <c r="P53" s="127"/>
      <c r="Q53" s="127"/>
      <c r="R53" s="127"/>
      <c r="S53" s="127"/>
      <c r="T53" s="127"/>
      <c r="U53" s="127"/>
    </row>
    <row r="54" spans="1:21" ht="18.75" customHeight="1" x14ac:dyDescent="0.2">
      <c r="A54" s="1" t="s">
        <v>15</v>
      </c>
      <c r="B54" s="38">
        <f>'Balance Sheet'!B11</f>
        <v>150022</v>
      </c>
      <c r="C54" s="38">
        <v>232429</v>
      </c>
      <c r="D54" s="127"/>
      <c r="E54" s="30">
        <v>105157</v>
      </c>
      <c r="F54" s="30">
        <v>153020</v>
      </c>
      <c r="G54" s="127"/>
      <c r="H54" s="127"/>
      <c r="I54" s="127"/>
      <c r="J54" s="127"/>
      <c r="K54" s="127"/>
      <c r="L54" s="127"/>
      <c r="M54" s="127"/>
      <c r="N54" s="127"/>
      <c r="O54" s="127"/>
      <c r="P54" s="127"/>
      <c r="Q54" s="127"/>
      <c r="R54" s="127"/>
      <c r="S54" s="127"/>
      <c r="T54" s="127"/>
      <c r="U54" s="127"/>
    </row>
    <row r="55" spans="1:21" ht="18.75" customHeight="1" x14ac:dyDescent="0.2">
      <c r="A55" s="1" t="s">
        <v>110</v>
      </c>
      <c r="B55" s="26">
        <v>0</v>
      </c>
      <c r="C55" s="90">
        <v>0</v>
      </c>
      <c r="D55" s="127"/>
      <c r="E55" s="26">
        <v>0</v>
      </c>
      <c r="F55" s="26">
        <v>0</v>
      </c>
      <c r="G55" s="127"/>
      <c r="H55" s="127"/>
      <c r="I55" s="127"/>
      <c r="J55" s="127"/>
      <c r="K55" s="127"/>
      <c r="L55" s="127"/>
      <c r="M55" s="127"/>
      <c r="N55" s="127"/>
      <c r="O55" s="127"/>
      <c r="P55" s="127"/>
      <c r="Q55" s="127"/>
      <c r="R55" s="127"/>
      <c r="S55" s="127"/>
      <c r="T55" s="127"/>
      <c r="U55" s="127"/>
    </row>
    <row r="56" spans="1:21" ht="13.5" customHeight="1" x14ac:dyDescent="0.2">
      <c r="A56" s="127"/>
      <c r="B56" s="30"/>
      <c r="C56" s="65"/>
      <c r="D56" s="127"/>
      <c r="E56" s="30"/>
      <c r="F56" s="30"/>
      <c r="G56" s="127"/>
      <c r="H56" s="127"/>
      <c r="I56" s="127"/>
      <c r="J56" s="127"/>
      <c r="K56" s="127"/>
      <c r="L56" s="127"/>
      <c r="M56" s="127"/>
      <c r="N56" s="127"/>
      <c r="O56" s="127"/>
      <c r="P56" s="127"/>
      <c r="Q56" s="127"/>
      <c r="R56" s="127"/>
      <c r="S56" s="127"/>
      <c r="T56" s="127"/>
      <c r="U56" s="127"/>
    </row>
    <row r="57" spans="1:21" ht="18.75" customHeight="1" thickBot="1" x14ac:dyDescent="0.25">
      <c r="A57" s="127"/>
      <c r="B57" s="120">
        <f>SUM(B54:B56)</f>
        <v>150022</v>
      </c>
      <c r="C57" s="91">
        <f>SUM(C54:C56)</f>
        <v>232429</v>
      </c>
      <c r="D57" s="127"/>
      <c r="E57" s="91">
        <f>SUM(E54:E56)</f>
        <v>105157</v>
      </c>
      <c r="F57" s="91">
        <f>SUM(F54:F56)</f>
        <v>153020</v>
      </c>
      <c r="G57" s="127"/>
      <c r="H57" s="127"/>
      <c r="I57" s="127"/>
      <c r="J57" s="127"/>
      <c r="K57" s="127"/>
      <c r="L57" s="127"/>
      <c r="M57" s="127"/>
      <c r="N57" s="127"/>
      <c r="O57" s="127"/>
      <c r="P57" s="127"/>
      <c r="Q57" s="127"/>
      <c r="R57" s="127"/>
      <c r="S57" s="127"/>
      <c r="T57" s="127"/>
      <c r="U57" s="127"/>
    </row>
    <row r="58" spans="1:21" ht="18.75" customHeight="1" thickTop="1" x14ac:dyDescent="0.2">
      <c r="A58" s="127"/>
      <c r="B58" s="130"/>
      <c r="C58" s="34"/>
      <c r="D58" s="127"/>
      <c r="E58" s="127"/>
      <c r="F58" s="127"/>
      <c r="G58" s="127"/>
      <c r="H58" s="127"/>
      <c r="I58" s="127"/>
      <c r="J58" s="127"/>
      <c r="K58" s="127"/>
      <c r="L58" s="127"/>
      <c r="M58" s="127"/>
      <c r="N58" s="127"/>
      <c r="O58" s="127"/>
      <c r="P58" s="127"/>
      <c r="Q58" s="127"/>
      <c r="R58" s="127"/>
      <c r="S58" s="127"/>
      <c r="T58" s="127"/>
      <c r="U58" s="127"/>
    </row>
    <row r="59" spans="1:21" ht="18.75" customHeight="1" x14ac:dyDescent="0.2">
      <c r="A59" s="127"/>
      <c r="B59" s="30"/>
      <c r="C59" s="34"/>
      <c r="D59" s="127"/>
      <c r="E59" s="127"/>
      <c r="F59" s="127"/>
      <c r="G59" s="127"/>
      <c r="H59" s="127"/>
      <c r="I59" s="127"/>
      <c r="J59" s="127"/>
      <c r="K59" s="127"/>
      <c r="L59" s="127"/>
      <c r="M59" s="127"/>
      <c r="N59" s="127"/>
      <c r="O59" s="127"/>
      <c r="P59" s="127"/>
      <c r="Q59" s="127"/>
      <c r="R59" s="127"/>
      <c r="S59" s="127"/>
      <c r="T59" s="127"/>
      <c r="U59" s="127"/>
    </row>
    <row r="60" spans="1:21" ht="18.75" customHeight="1" x14ac:dyDescent="0.2">
      <c r="A60" s="127"/>
      <c r="B60" s="130"/>
      <c r="C60" s="34"/>
      <c r="D60" s="127"/>
      <c r="E60" s="127"/>
      <c r="F60" s="127"/>
      <c r="G60" s="127"/>
      <c r="H60" s="127"/>
      <c r="I60" s="127"/>
      <c r="J60" s="127"/>
      <c r="K60" s="127"/>
      <c r="L60" s="127"/>
      <c r="M60" s="127"/>
      <c r="N60" s="127"/>
      <c r="O60" s="127"/>
      <c r="P60" s="127"/>
      <c r="Q60" s="127"/>
      <c r="R60" s="127"/>
      <c r="S60" s="127"/>
      <c r="T60" s="127"/>
      <c r="U60" s="127"/>
    </row>
    <row r="61" spans="1:21" ht="18.75" customHeight="1" x14ac:dyDescent="0.2">
      <c r="A61" s="127"/>
      <c r="B61" s="130"/>
      <c r="C61" s="34"/>
      <c r="D61" s="127"/>
      <c r="E61" s="127"/>
      <c r="F61" s="127"/>
      <c r="G61" s="127"/>
      <c r="H61" s="127"/>
      <c r="I61" s="127"/>
      <c r="J61" s="127"/>
      <c r="K61" s="127"/>
      <c r="L61" s="127"/>
      <c r="M61" s="127"/>
      <c r="N61" s="127"/>
      <c r="O61" s="127"/>
      <c r="P61" s="127"/>
      <c r="Q61" s="127"/>
      <c r="R61" s="127"/>
      <c r="S61" s="127"/>
      <c r="T61" s="127"/>
      <c r="U61" s="127"/>
    </row>
    <row r="62" spans="1:21" ht="18.75" customHeight="1" x14ac:dyDescent="0.2">
      <c r="A62" s="127"/>
      <c r="B62" s="124"/>
      <c r="C62" s="34"/>
      <c r="D62" s="127"/>
      <c r="E62" s="127"/>
      <c r="F62" s="127"/>
      <c r="G62" s="127"/>
      <c r="H62" s="127"/>
      <c r="I62" s="127"/>
      <c r="J62" s="127"/>
      <c r="K62" s="127"/>
      <c r="L62" s="127"/>
      <c r="M62" s="127"/>
      <c r="N62" s="127"/>
      <c r="O62" s="127"/>
      <c r="P62" s="127"/>
      <c r="Q62" s="127"/>
      <c r="R62" s="127"/>
      <c r="S62" s="127"/>
      <c r="T62" s="127"/>
      <c r="U62" s="127"/>
    </row>
    <row r="63" spans="1:21" ht="18.75" customHeight="1" x14ac:dyDescent="0.2">
      <c r="A63" s="127"/>
      <c r="B63" s="130"/>
      <c r="C63" s="34"/>
      <c r="D63" s="127"/>
      <c r="E63" s="127"/>
      <c r="F63" s="127"/>
      <c r="G63" s="127"/>
      <c r="H63" s="127"/>
      <c r="I63" s="127"/>
      <c r="J63" s="127"/>
      <c r="K63" s="127"/>
      <c r="L63" s="127"/>
      <c r="M63" s="127"/>
      <c r="N63" s="127"/>
      <c r="O63" s="127"/>
      <c r="P63" s="127"/>
      <c r="Q63" s="127"/>
      <c r="R63" s="127"/>
      <c r="S63" s="127"/>
      <c r="T63" s="127"/>
      <c r="U63" s="127"/>
    </row>
    <row r="64" spans="1:21" ht="18.75" customHeight="1" x14ac:dyDescent="0.2">
      <c r="A64" s="127"/>
      <c r="B64" s="130"/>
      <c r="C64" s="34"/>
      <c r="D64" s="127"/>
      <c r="E64" s="127"/>
      <c r="F64" s="127"/>
      <c r="G64" s="127"/>
      <c r="H64" s="127"/>
      <c r="I64" s="127"/>
      <c r="J64" s="127"/>
      <c r="K64" s="127"/>
      <c r="L64" s="127"/>
      <c r="M64" s="127"/>
      <c r="N64" s="127"/>
      <c r="O64" s="127"/>
      <c r="P64" s="127"/>
      <c r="Q64" s="127"/>
      <c r="R64" s="127"/>
      <c r="S64" s="127"/>
      <c r="T64" s="127"/>
      <c r="U64" s="127"/>
    </row>
    <row r="65" spans="1:21" ht="18.75" customHeight="1" x14ac:dyDescent="0.2">
      <c r="A65" s="127"/>
      <c r="B65" s="130"/>
      <c r="C65" s="34"/>
      <c r="D65" s="127"/>
      <c r="E65" s="127"/>
      <c r="F65" s="127"/>
      <c r="G65" s="127"/>
      <c r="H65" s="127"/>
      <c r="I65" s="127"/>
      <c r="J65" s="127"/>
      <c r="K65" s="127"/>
      <c r="L65" s="127"/>
      <c r="M65" s="127"/>
      <c r="N65" s="127"/>
      <c r="O65" s="127"/>
      <c r="P65" s="127"/>
      <c r="Q65" s="127"/>
      <c r="R65" s="127"/>
      <c r="S65" s="127"/>
      <c r="T65" s="127"/>
      <c r="U65" s="127"/>
    </row>
    <row r="66" spans="1:21" ht="18.75" customHeight="1" x14ac:dyDescent="0.2">
      <c r="A66" s="127"/>
      <c r="B66" s="130"/>
      <c r="C66" s="34"/>
      <c r="D66" s="127"/>
      <c r="E66" s="127"/>
      <c r="F66" s="127"/>
      <c r="G66" s="127"/>
      <c r="H66" s="127"/>
      <c r="I66" s="127"/>
      <c r="J66" s="127"/>
      <c r="K66" s="127"/>
      <c r="L66" s="127"/>
      <c r="M66" s="127"/>
      <c r="N66" s="127"/>
      <c r="O66" s="127"/>
      <c r="P66" s="127"/>
      <c r="Q66" s="127"/>
      <c r="R66" s="127"/>
      <c r="S66" s="127"/>
      <c r="T66" s="127"/>
      <c r="U66" s="127"/>
    </row>
    <row r="67" spans="1:21" ht="18.75" customHeight="1" x14ac:dyDescent="0.2">
      <c r="A67" s="127"/>
      <c r="B67" s="130"/>
      <c r="C67" s="34"/>
      <c r="D67" s="127"/>
      <c r="E67" s="127"/>
      <c r="F67" s="127"/>
      <c r="G67" s="127"/>
      <c r="H67" s="127"/>
      <c r="I67" s="127"/>
      <c r="J67" s="127"/>
      <c r="K67" s="127"/>
      <c r="L67" s="127"/>
      <c r="M67" s="127"/>
      <c r="N67" s="127"/>
      <c r="O67" s="127"/>
      <c r="P67" s="127"/>
      <c r="Q67" s="127"/>
      <c r="R67" s="127"/>
      <c r="S67" s="127"/>
      <c r="T67" s="127"/>
      <c r="U67" s="127"/>
    </row>
    <row r="68" spans="1:21" ht="18.75" customHeight="1" x14ac:dyDescent="0.2">
      <c r="A68" s="127"/>
      <c r="B68" s="130"/>
      <c r="C68" s="34"/>
      <c r="D68" s="127"/>
      <c r="E68" s="127"/>
      <c r="F68" s="127"/>
      <c r="G68" s="127"/>
      <c r="H68" s="127"/>
      <c r="I68" s="127"/>
      <c r="J68" s="127"/>
      <c r="K68" s="127"/>
      <c r="L68" s="127"/>
      <c r="M68" s="127"/>
      <c r="N68" s="127"/>
      <c r="O68" s="127"/>
      <c r="P68" s="127"/>
      <c r="Q68" s="127"/>
      <c r="R68" s="127"/>
      <c r="S68" s="127"/>
      <c r="T68" s="127"/>
      <c r="U68" s="127"/>
    </row>
    <row r="69" spans="1:21" ht="18.75" customHeight="1" x14ac:dyDescent="0.2">
      <c r="A69" s="127"/>
      <c r="B69" s="130"/>
      <c r="C69" s="34"/>
      <c r="D69" s="127"/>
      <c r="E69" s="127"/>
      <c r="F69" s="127"/>
      <c r="G69" s="127"/>
      <c r="H69" s="127"/>
      <c r="I69" s="127"/>
      <c r="J69" s="127"/>
      <c r="K69" s="127"/>
      <c r="L69" s="127"/>
      <c r="M69" s="127"/>
      <c r="N69" s="127"/>
      <c r="O69" s="127"/>
      <c r="P69" s="127"/>
      <c r="Q69" s="127"/>
      <c r="R69" s="127"/>
      <c r="S69" s="127"/>
      <c r="T69" s="127"/>
      <c r="U69" s="127"/>
    </row>
    <row r="70" spans="1:21" ht="18.75" customHeight="1" x14ac:dyDescent="0.2">
      <c r="A70" s="127"/>
      <c r="B70" s="127"/>
      <c r="C70" s="7"/>
      <c r="D70" s="127"/>
      <c r="E70" s="127"/>
      <c r="F70" s="127"/>
      <c r="G70" s="127"/>
      <c r="H70" s="127"/>
      <c r="I70" s="127"/>
      <c r="J70" s="127"/>
      <c r="K70" s="127"/>
      <c r="L70" s="127"/>
      <c r="M70" s="127"/>
      <c r="N70" s="127"/>
      <c r="O70" s="127"/>
      <c r="P70" s="127"/>
      <c r="Q70" s="127"/>
      <c r="R70" s="127"/>
      <c r="S70" s="127"/>
      <c r="T70" s="127"/>
      <c r="U70" s="127"/>
    </row>
    <row r="71" spans="1:21" ht="18.75" customHeight="1" x14ac:dyDescent="0.2">
      <c r="A71" s="127"/>
      <c r="B71" s="127"/>
      <c r="C71" s="7"/>
      <c r="D71" s="127"/>
      <c r="E71" s="127"/>
      <c r="F71" s="127"/>
      <c r="G71" s="127"/>
      <c r="H71" s="127"/>
      <c r="I71" s="127"/>
      <c r="J71" s="127"/>
      <c r="K71" s="127"/>
      <c r="L71" s="127"/>
      <c r="M71" s="127"/>
      <c r="N71" s="127"/>
      <c r="O71" s="127"/>
      <c r="P71" s="127"/>
      <c r="Q71" s="127"/>
      <c r="R71" s="127"/>
      <c r="S71" s="127"/>
      <c r="T71" s="127"/>
      <c r="U71" s="127"/>
    </row>
    <row r="72" spans="1:21" ht="18.75" customHeight="1" x14ac:dyDescent="0.2">
      <c r="A72" s="127"/>
      <c r="B72" s="127"/>
      <c r="C72" s="7"/>
      <c r="D72" s="127"/>
      <c r="E72" s="127"/>
      <c r="F72" s="127"/>
      <c r="G72" s="127"/>
      <c r="H72" s="127"/>
      <c r="I72" s="127"/>
      <c r="J72" s="127"/>
      <c r="K72" s="127"/>
      <c r="L72" s="127"/>
      <c r="M72" s="127"/>
      <c r="N72" s="127"/>
      <c r="O72" s="127"/>
      <c r="P72" s="127"/>
      <c r="Q72" s="127"/>
      <c r="R72" s="127"/>
      <c r="S72" s="127"/>
      <c r="T72" s="127"/>
      <c r="U72" s="127"/>
    </row>
    <row r="73" spans="1:21" ht="18.75" customHeight="1" x14ac:dyDescent="0.2">
      <c r="A73" s="127"/>
      <c r="B73" s="127"/>
      <c r="C73" s="7"/>
      <c r="D73" s="127"/>
      <c r="E73" s="127"/>
      <c r="F73" s="127"/>
      <c r="G73" s="127"/>
      <c r="H73" s="127"/>
      <c r="I73" s="127"/>
      <c r="J73" s="127"/>
      <c r="K73" s="127"/>
      <c r="L73" s="127"/>
      <c r="M73" s="127"/>
      <c r="N73" s="127"/>
      <c r="O73" s="127"/>
      <c r="P73" s="127"/>
      <c r="Q73" s="127"/>
      <c r="R73" s="127"/>
      <c r="S73" s="127"/>
      <c r="T73" s="127"/>
      <c r="U73" s="127"/>
    </row>
    <row r="74" spans="1:21" ht="18.75" customHeight="1" x14ac:dyDescent="0.2">
      <c r="A74" s="127"/>
      <c r="B74" s="127"/>
      <c r="C74" s="7"/>
      <c r="D74" s="127"/>
      <c r="E74" s="127"/>
      <c r="F74" s="127"/>
      <c r="G74" s="127"/>
      <c r="H74" s="127"/>
      <c r="I74" s="127"/>
      <c r="J74" s="127"/>
      <c r="K74" s="127"/>
      <c r="L74" s="127"/>
      <c r="M74" s="127"/>
      <c r="N74" s="127"/>
      <c r="O74" s="127"/>
      <c r="P74" s="127"/>
      <c r="Q74" s="127"/>
      <c r="R74" s="127"/>
      <c r="S74" s="127"/>
      <c r="T74" s="127"/>
      <c r="U74" s="127"/>
    </row>
    <row r="75" spans="1:21" ht="18.75" customHeight="1" x14ac:dyDescent="0.2">
      <c r="A75" s="127"/>
      <c r="B75" s="127"/>
      <c r="C75" s="7"/>
      <c r="D75" s="127"/>
      <c r="E75" s="127"/>
      <c r="F75" s="127"/>
      <c r="G75" s="127"/>
      <c r="H75" s="127"/>
      <c r="I75" s="127"/>
      <c r="J75" s="127"/>
      <c r="K75" s="127"/>
      <c r="L75" s="127"/>
      <c r="M75" s="127"/>
      <c r="N75" s="127"/>
      <c r="O75" s="127"/>
      <c r="P75" s="127"/>
      <c r="Q75" s="127"/>
      <c r="R75" s="127"/>
      <c r="S75" s="127"/>
      <c r="T75" s="127"/>
      <c r="U75" s="127"/>
    </row>
    <row r="76" spans="1:21" ht="18.75" customHeight="1" x14ac:dyDescent="0.2">
      <c r="A76" s="127"/>
      <c r="B76" s="127"/>
      <c r="C76" s="7"/>
      <c r="D76" s="127"/>
      <c r="E76" s="127"/>
      <c r="F76" s="127"/>
      <c r="G76" s="127"/>
      <c r="H76" s="127"/>
      <c r="I76" s="127"/>
      <c r="J76" s="127"/>
      <c r="K76" s="127"/>
      <c r="L76" s="127"/>
      <c r="M76" s="127"/>
      <c r="N76" s="127"/>
      <c r="O76" s="127"/>
      <c r="P76" s="127"/>
      <c r="Q76" s="127"/>
      <c r="R76" s="127"/>
      <c r="S76" s="127"/>
      <c r="T76" s="127"/>
      <c r="U76" s="127"/>
    </row>
    <row r="77" spans="1:21" ht="18.75" customHeight="1" x14ac:dyDescent="0.2">
      <c r="A77" s="127"/>
      <c r="B77" s="127"/>
      <c r="C77" s="7"/>
      <c r="D77" s="127"/>
      <c r="E77" s="127"/>
      <c r="F77" s="127"/>
      <c r="G77" s="127"/>
      <c r="H77" s="127"/>
      <c r="I77" s="127"/>
      <c r="J77" s="127"/>
      <c r="K77" s="127"/>
      <c r="L77" s="127"/>
      <c r="M77" s="127"/>
      <c r="N77" s="127"/>
      <c r="O77" s="127"/>
      <c r="P77" s="127"/>
      <c r="Q77" s="127"/>
      <c r="R77" s="127"/>
      <c r="S77" s="127"/>
      <c r="T77" s="127"/>
      <c r="U77" s="127"/>
    </row>
    <row r="78" spans="1:21" ht="18.75" customHeight="1" x14ac:dyDescent="0.2">
      <c r="A78" s="127"/>
      <c r="B78" s="127"/>
      <c r="C78" s="7"/>
      <c r="D78" s="127"/>
      <c r="E78" s="127"/>
      <c r="F78" s="127"/>
      <c r="G78" s="127"/>
      <c r="H78" s="127"/>
      <c r="I78" s="127"/>
      <c r="J78" s="127"/>
      <c r="K78" s="127"/>
      <c r="L78" s="127"/>
      <c r="M78" s="127"/>
      <c r="N78" s="127"/>
      <c r="O78" s="127"/>
      <c r="P78" s="127"/>
      <c r="Q78" s="127"/>
      <c r="R78" s="127"/>
      <c r="S78" s="127"/>
      <c r="T78" s="127"/>
      <c r="U78" s="127"/>
    </row>
    <row r="79" spans="1:21" ht="18.75" customHeight="1" x14ac:dyDescent="0.2">
      <c r="A79" s="127"/>
      <c r="B79" s="127"/>
      <c r="C79" s="7"/>
      <c r="D79" s="127"/>
      <c r="E79" s="127"/>
      <c r="F79" s="127"/>
      <c r="G79" s="127"/>
      <c r="H79" s="127"/>
      <c r="I79" s="127"/>
      <c r="J79" s="127"/>
      <c r="K79" s="127"/>
      <c r="L79" s="127"/>
      <c r="M79" s="127"/>
      <c r="N79" s="127"/>
      <c r="O79" s="127"/>
      <c r="P79" s="127"/>
      <c r="Q79" s="127"/>
      <c r="R79" s="127"/>
      <c r="S79" s="127"/>
      <c r="T79" s="127"/>
      <c r="U79" s="127"/>
    </row>
    <row r="80" spans="1:21" ht="18.75" customHeight="1" x14ac:dyDescent="0.2">
      <c r="A80" s="127"/>
      <c r="B80" s="127"/>
      <c r="C80" s="7"/>
      <c r="D80" s="127"/>
      <c r="E80" s="127"/>
      <c r="F80" s="127"/>
      <c r="G80" s="127"/>
      <c r="H80" s="127"/>
      <c r="I80" s="127"/>
      <c r="J80" s="127"/>
      <c r="K80" s="127"/>
      <c r="L80" s="127"/>
      <c r="M80" s="127"/>
      <c r="N80" s="127"/>
      <c r="O80" s="127"/>
      <c r="P80" s="127"/>
      <c r="Q80" s="127"/>
      <c r="R80" s="127"/>
      <c r="S80" s="127"/>
      <c r="T80" s="127"/>
      <c r="U80" s="127"/>
    </row>
    <row r="81" spans="1:21" ht="18.75" customHeight="1" x14ac:dyDescent="0.2">
      <c r="A81" s="127"/>
      <c r="B81" s="127"/>
      <c r="C81" s="7"/>
      <c r="D81" s="127"/>
      <c r="E81" s="127"/>
      <c r="F81" s="127"/>
      <c r="G81" s="127"/>
      <c r="H81" s="127"/>
      <c r="I81" s="127"/>
      <c r="J81" s="127"/>
      <c r="K81" s="127"/>
      <c r="L81" s="127"/>
      <c r="M81" s="127"/>
      <c r="N81" s="127"/>
      <c r="O81" s="127"/>
      <c r="P81" s="127"/>
      <c r="Q81" s="127"/>
      <c r="R81" s="127"/>
      <c r="S81" s="127"/>
      <c r="T81" s="127"/>
      <c r="U81" s="127"/>
    </row>
    <row r="82" spans="1:21" ht="18.75" customHeight="1" x14ac:dyDescent="0.2">
      <c r="A82" s="127"/>
      <c r="B82" s="127"/>
      <c r="C82" s="7"/>
      <c r="D82" s="127"/>
      <c r="E82" s="127"/>
      <c r="F82" s="127"/>
      <c r="G82" s="127"/>
      <c r="H82" s="127"/>
      <c r="I82" s="127"/>
      <c r="J82" s="127"/>
      <c r="K82" s="127"/>
      <c r="L82" s="127"/>
      <c r="M82" s="127"/>
      <c r="N82" s="127"/>
      <c r="O82" s="127"/>
      <c r="P82" s="127"/>
      <c r="Q82" s="127"/>
      <c r="R82" s="127"/>
      <c r="S82" s="127"/>
      <c r="T82" s="127"/>
      <c r="U82" s="127"/>
    </row>
    <row r="83" spans="1:21" ht="18.75" customHeight="1" x14ac:dyDescent="0.2">
      <c r="A83" s="127"/>
      <c r="B83" s="127"/>
      <c r="C83" s="7"/>
      <c r="D83" s="127"/>
      <c r="E83" s="127"/>
      <c r="F83" s="127"/>
      <c r="G83" s="127"/>
      <c r="H83" s="127"/>
      <c r="I83" s="127"/>
      <c r="J83" s="127"/>
      <c r="K83" s="127"/>
      <c r="L83" s="127"/>
      <c r="M83" s="127"/>
      <c r="N83" s="127"/>
      <c r="O83" s="127"/>
      <c r="P83" s="127"/>
      <c r="Q83" s="127"/>
      <c r="R83" s="127"/>
      <c r="S83" s="127"/>
      <c r="T83" s="127"/>
      <c r="U83" s="127"/>
    </row>
    <row r="84" spans="1:21" ht="18.75" customHeight="1" x14ac:dyDescent="0.2">
      <c r="A84" s="127"/>
      <c r="B84" s="127"/>
      <c r="C84" s="7"/>
      <c r="D84" s="127"/>
      <c r="E84" s="127"/>
      <c r="F84" s="127"/>
      <c r="G84" s="127"/>
      <c r="H84" s="127"/>
      <c r="I84" s="127"/>
      <c r="J84" s="127"/>
      <c r="K84" s="127"/>
      <c r="L84" s="127"/>
      <c r="M84" s="127"/>
      <c r="N84" s="127"/>
      <c r="O84" s="127"/>
      <c r="P84" s="127"/>
      <c r="Q84" s="127"/>
      <c r="R84" s="127"/>
      <c r="S84" s="127"/>
      <c r="T84" s="127"/>
      <c r="U84" s="127"/>
    </row>
    <row r="85" spans="1:21" ht="18.75" customHeight="1" x14ac:dyDescent="0.2">
      <c r="A85" s="127"/>
      <c r="B85" s="127"/>
      <c r="C85" s="7"/>
      <c r="D85" s="127"/>
      <c r="E85" s="127"/>
      <c r="F85" s="127"/>
      <c r="G85" s="127"/>
      <c r="H85" s="127"/>
      <c r="I85" s="127"/>
      <c r="J85" s="127"/>
      <c r="K85" s="127"/>
      <c r="L85" s="127"/>
      <c r="M85" s="127"/>
      <c r="N85" s="127"/>
      <c r="O85" s="127"/>
      <c r="P85" s="127"/>
      <c r="Q85" s="127"/>
      <c r="R85" s="127"/>
      <c r="S85" s="127"/>
      <c r="T85" s="127"/>
      <c r="U85" s="127"/>
    </row>
    <row r="86" spans="1:21" ht="18.75" customHeight="1" x14ac:dyDescent="0.2">
      <c r="A86" s="127"/>
      <c r="B86" s="127"/>
      <c r="C86" s="7"/>
      <c r="D86" s="127"/>
      <c r="E86" s="127"/>
      <c r="F86" s="127"/>
      <c r="G86" s="127"/>
      <c r="H86" s="127"/>
      <c r="I86" s="127"/>
      <c r="J86" s="127"/>
      <c r="K86" s="127"/>
      <c r="L86" s="127"/>
      <c r="M86" s="127"/>
      <c r="N86" s="127"/>
      <c r="O86" s="127"/>
      <c r="P86" s="127"/>
      <c r="Q86" s="127"/>
      <c r="R86" s="127"/>
      <c r="S86" s="127"/>
      <c r="T86" s="127"/>
      <c r="U86" s="127"/>
    </row>
    <row r="87" spans="1:21" ht="18.75" customHeight="1" x14ac:dyDescent="0.2">
      <c r="A87" s="127"/>
      <c r="B87" s="127"/>
      <c r="C87" s="7"/>
      <c r="D87" s="127"/>
      <c r="E87" s="127"/>
      <c r="F87" s="127"/>
      <c r="G87" s="127"/>
      <c r="H87" s="127"/>
      <c r="I87" s="127"/>
      <c r="J87" s="127"/>
      <c r="K87" s="127"/>
      <c r="L87" s="127"/>
      <c r="M87" s="127"/>
      <c r="N87" s="127"/>
      <c r="O87" s="127"/>
      <c r="P87" s="127"/>
      <c r="Q87" s="127"/>
      <c r="R87" s="127"/>
      <c r="S87" s="127"/>
      <c r="T87" s="127"/>
      <c r="U87" s="127"/>
    </row>
    <row r="88" spans="1:21" ht="18.75" customHeight="1" x14ac:dyDescent="0.2">
      <c r="A88" s="127"/>
      <c r="B88" s="127"/>
      <c r="C88" s="7"/>
      <c r="D88" s="127"/>
      <c r="E88" s="127"/>
      <c r="F88" s="127"/>
      <c r="G88" s="127"/>
      <c r="H88" s="127"/>
      <c r="I88" s="127"/>
      <c r="J88" s="127"/>
      <c r="K88" s="127"/>
      <c r="L88" s="127"/>
      <c r="M88" s="127"/>
      <c r="N88" s="127"/>
      <c r="O88" s="127"/>
      <c r="P88" s="127"/>
      <c r="Q88" s="127"/>
      <c r="R88" s="127"/>
      <c r="S88" s="127"/>
      <c r="T88" s="127"/>
      <c r="U88" s="127"/>
    </row>
    <row r="89" spans="1:21" ht="18.75" customHeight="1" x14ac:dyDescent="0.2">
      <c r="A89" s="127"/>
      <c r="B89" s="127"/>
      <c r="C89" s="7"/>
      <c r="D89" s="127"/>
      <c r="E89" s="127"/>
      <c r="F89" s="127"/>
      <c r="G89" s="127"/>
      <c r="H89" s="127"/>
      <c r="I89" s="127"/>
      <c r="J89" s="127"/>
      <c r="K89" s="127"/>
      <c r="L89" s="127"/>
      <c r="M89" s="127"/>
      <c r="N89" s="127"/>
      <c r="O89" s="127"/>
      <c r="P89" s="127"/>
      <c r="Q89" s="127"/>
      <c r="R89" s="127"/>
      <c r="S89" s="127"/>
      <c r="T89" s="127"/>
      <c r="U89" s="127"/>
    </row>
    <row r="90" spans="1:21" ht="18.75" customHeight="1" x14ac:dyDescent="0.2">
      <c r="A90" s="127"/>
      <c r="B90" s="127"/>
      <c r="C90" s="7"/>
      <c r="D90" s="127"/>
      <c r="E90" s="127"/>
      <c r="F90" s="127"/>
      <c r="G90" s="127"/>
      <c r="H90" s="127"/>
      <c r="I90" s="127"/>
      <c r="J90" s="127"/>
      <c r="K90" s="127"/>
      <c r="L90" s="127"/>
      <c r="M90" s="127"/>
      <c r="N90" s="127"/>
      <c r="O90" s="127"/>
      <c r="P90" s="127"/>
      <c r="Q90" s="127"/>
      <c r="R90" s="127"/>
      <c r="S90" s="127"/>
      <c r="T90" s="127"/>
      <c r="U90" s="127"/>
    </row>
  </sheetData>
  <mergeCells count="5">
    <mergeCell ref="A1:C1"/>
    <mergeCell ref="A2:C2"/>
    <mergeCell ref="A3:C3"/>
    <mergeCell ref="B6:C6"/>
    <mergeCell ref="B8:C8"/>
  </mergeCells>
  <pageMargins left="0.7" right="0.7" top="0.75" bottom="0.75" header="0.3" footer="0.3"/>
  <pageSetup scale="86" orientation="portrait" r:id="rId1"/>
  <ignoredErrors>
    <ignoredError sqref="C48 C5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39997558519241921"/>
    <pageSetUpPr autoPageBreaks="0" fitToPage="1"/>
  </sheetPr>
  <dimension ref="A1:G95"/>
  <sheetViews>
    <sheetView workbookViewId="0">
      <selection activeCell="A32" sqref="A32"/>
    </sheetView>
  </sheetViews>
  <sheetFormatPr defaultColWidth="21.5" defaultRowHeight="12.75" x14ac:dyDescent="0.2"/>
  <cols>
    <col min="1" max="1" width="73" style="128" customWidth="1"/>
    <col min="2" max="2" width="2.1640625" style="128" customWidth="1"/>
    <col min="3" max="4" width="15.83203125" style="128" customWidth="1"/>
    <col min="5" max="16384" width="21.5" style="128"/>
  </cols>
  <sheetData>
    <row r="1" spans="1:7" ht="13.5" customHeight="1" x14ac:dyDescent="0.25">
      <c r="A1" s="151" t="s">
        <v>152</v>
      </c>
      <c r="B1" s="156"/>
      <c r="C1" s="156"/>
      <c r="D1" s="156"/>
    </row>
    <row r="2" spans="1:7" ht="13.5" customHeight="1" x14ac:dyDescent="0.25">
      <c r="A2" s="151" t="s">
        <v>58</v>
      </c>
      <c r="B2" s="156"/>
      <c r="C2" s="156"/>
      <c r="D2" s="156"/>
    </row>
    <row r="3" spans="1:7" ht="13.5" customHeight="1" x14ac:dyDescent="0.25">
      <c r="A3" s="151" t="s">
        <v>12</v>
      </c>
      <c r="B3" s="156"/>
      <c r="C3" s="156"/>
      <c r="D3" s="156"/>
    </row>
    <row r="4" spans="1:7" ht="6" customHeight="1" x14ac:dyDescent="0.2"/>
    <row r="5" spans="1:7" ht="18.75" customHeight="1" x14ac:dyDescent="0.2">
      <c r="A5" s="127"/>
      <c r="B5" s="127"/>
      <c r="C5" s="41" t="s">
        <v>158</v>
      </c>
      <c r="D5" s="143" t="s">
        <v>59</v>
      </c>
    </row>
    <row r="6" spans="1:7" ht="12.75" customHeight="1" x14ac:dyDescent="0.2">
      <c r="A6" s="127"/>
      <c r="B6" s="127"/>
      <c r="C6" s="95">
        <v>2020</v>
      </c>
      <c r="D6" s="95">
        <v>2019</v>
      </c>
    </row>
    <row r="7" spans="1:7" ht="12.75" customHeight="1" x14ac:dyDescent="0.2">
      <c r="A7" s="127"/>
      <c r="B7" s="127"/>
      <c r="C7" s="144" t="s">
        <v>1</v>
      </c>
      <c r="D7" s="115"/>
    </row>
    <row r="8" spans="1:7" ht="7.5" customHeight="1" x14ac:dyDescent="0.2">
      <c r="A8" s="127"/>
      <c r="B8" s="127"/>
      <c r="C8" s="34"/>
      <c r="D8" s="130"/>
    </row>
    <row r="9" spans="1:7" ht="18.75" customHeight="1" x14ac:dyDescent="0.2">
      <c r="A9" s="130" t="s">
        <v>165</v>
      </c>
      <c r="B9" s="127"/>
      <c r="C9" s="39">
        <v>289427.29700000002</v>
      </c>
      <c r="D9" s="39">
        <v>290825</v>
      </c>
      <c r="F9" s="134"/>
    </row>
    <row r="10" spans="1:7" ht="13.5" customHeight="1" x14ac:dyDescent="0.2">
      <c r="A10" s="128" t="s">
        <v>44</v>
      </c>
      <c r="B10" s="127"/>
      <c r="C10" s="32">
        <v>65085</v>
      </c>
      <c r="D10" s="32">
        <v>25007</v>
      </c>
    </row>
    <row r="11" spans="1:7" ht="13.5" customHeight="1" x14ac:dyDescent="0.2">
      <c r="A11" s="128" t="s">
        <v>65</v>
      </c>
      <c r="B11" s="127"/>
      <c r="C11" s="26">
        <v>-4956</v>
      </c>
      <c r="D11" s="26">
        <v>-5013</v>
      </c>
    </row>
    <row r="12" spans="1:7" ht="13.5" customHeight="1" x14ac:dyDescent="0.2">
      <c r="A12" s="127"/>
      <c r="B12" s="127"/>
      <c r="C12" s="24">
        <f>SUM(C9:C11)</f>
        <v>349556.29700000002</v>
      </c>
      <c r="D12" s="24">
        <f>SUM(D9:D11)</f>
        <v>310819</v>
      </c>
    </row>
    <row r="13" spans="1:7" ht="13.5" customHeight="1" x14ac:dyDescent="0.2">
      <c r="A13" s="156" t="s">
        <v>60</v>
      </c>
      <c r="B13" s="155"/>
      <c r="C13" s="32">
        <v>25702</v>
      </c>
      <c r="D13" s="32">
        <v>20753</v>
      </c>
    </row>
    <row r="14" spans="1:7" ht="13.5" customHeight="1" thickBot="1" x14ac:dyDescent="0.25">
      <c r="A14" s="128" t="s">
        <v>35</v>
      </c>
      <c r="B14" s="127"/>
      <c r="C14" s="145">
        <f>C12-C13</f>
        <v>323854.29700000002</v>
      </c>
      <c r="D14" s="145">
        <f>D12-D13</f>
        <v>290066</v>
      </c>
    </row>
    <row r="15" spans="1:7" ht="13.5" customHeight="1" thickTop="1" x14ac:dyDescent="0.2">
      <c r="A15" s="127"/>
      <c r="B15" s="127"/>
      <c r="C15" s="34"/>
      <c r="D15" s="130"/>
      <c r="G15" s="138"/>
    </row>
    <row r="16" spans="1:7" ht="13.5" customHeight="1" x14ac:dyDescent="0.2">
      <c r="A16" s="128" t="s">
        <v>61</v>
      </c>
      <c r="C16" s="146"/>
      <c r="D16" s="126"/>
    </row>
    <row r="17" spans="1:4" ht="13.5" customHeight="1" x14ac:dyDescent="0.2">
      <c r="A17" s="128" t="s">
        <v>66</v>
      </c>
      <c r="C17" s="42">
        <f>C12-C11</f>
        <v>354512.29700000002</v>
      </c>
      <c r="D17" s="147">
        <f>D12-D11</f>
        <v>315832</v>
      </c>
    </row>
    <row r="18" spans="1:4" ht="13.5" customHeight="1" x14ac:dyDescent="0.2">
      <c r="A18" s="128" t="s">
        <v>62</v>
      </c>
      <c r="C18" s="63"/>
      <c r="D18" s="126"/>
    </row>
    <row r="19" spans="1:4" ht="13.5" customHeight="1" x14ac:dyDescent="0.2">
      <c r="A19" s="128" t="s">
        <v>15</v>
      </c>
      <c r="C19" s="32">
        <f>'Balance Sheet'!B11</f>
        <v>150022</v>
      </c>
      <c r="D19" s="24">
        <f>'Balance Sheet'!C11</f>
        <v>153020</v>
      </c>
    </row>
    <row r="20" spans="1:4" ht="13.5" customHeight="1" x14ac:dyDescent="0.2">
      <c r="A20" s="128" t="s">
        <v>16</v>
      </c>
      <c r="C20" s="26">
        <f>'Balance Sheet'!B12</f>
        <v>67237</v>
      </c>
      <c r="D20" s="26">
        <f>'Balance Sheet'!C12</f>
        <v>135667</v>
      </c>
    </row>
    <row r="21" spans="1:4" ht="13.5" customHeight="1" x14ac:dyDescent="0.2">
      <c r="A21" s="127"/>
      <c r="C21" s="32">
        <f>+C19+C20</f>
        <v>217259</v>
      </c>
      <c r="D21" s="24">
        <f>+D19+D20</f>
        <v>288687</v>
      </c>
    </row>
    <row r="22" spans="1:4" ht="13.5" customHeight="1" thickBot="1" x14ac:dyDescent="0.25">
      <c r="A22" s="128" t="s">
        <v>63</v>
      </c>
      <c r="C22" s="145">
        <f>+C17-C21</f>
        <v>137253.29700000002</v>
      </c>
      <c r="D22" s="145">
        <f>+D17-D21</f>
        <v>27145</v>
      </c>
    </row>
    <row r="23" spans="1:4" ht="18.75" customHeight="1" thickTop="1" x14ac:dyDescent="0.2">
      <c r="C23" s="126"/>
      <c r="D23" s="126"/>
    </row>
    <row r="24" spans="1:4" ht="18.75" customHeight="1" x14ac:dyDescent="0.2"/>
    <row r="25" spans="1:4" ht="18.75" customHeight="1" x14ac:dyDescent="0.2"/>
    <row r="26" spans="1:4" ht="18.75" customHeight="1" x14ac:dyDescent="0.2"/>
    <row r="27" spans="1:4" ht="18.75" customHeight="1" x14ac:dyDescent="0.2"/>
    <row r="28" spans="1:4" ht="18.75" customHeight="1" x14ac:dyDescent="0.2"/>
    <row r="29" spans="1:4" ht="18.75" customHeight="1" x14ac:dyDescent="0.2"/>
    <row r="30" spans="1:4" ht="18.75" customHeight="1" x14ac:dyDescent="0.2"/>
    <row r="31" spans="1:4" ht="18.75" customHeight="1" x14ac:dyDescent="0.2"/>
    <row r="32" spans="1:4" ht="18.7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sheetData>
  <mergeCells count="4">
    <mergeCell ref="A1:D1"/>
    <mergeCell ref="A2:D2"/>
    <mergeCell ref="A3:D3"/>
    <mergeCell ref="A13:B13"/>
  </mergeCells>
  <pageMargins left="0.7" right="0.7" top="0.75" bottom="0.75" header="0.3" footer="0.3"/>
  <pageSetup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pageSetUpPr fitToPage="1"/>
  </sheetPr>
  <dimension ref="A1:G38"/>
  <sheetViews>
    <sheetView topLeftCell="A7" workbookViewId="0">
      <selection activeCell="A32" sqref="A32"/>
    </sheetView>
  </sheetViews>
  <sheetFormatPr defaultColWidth="9.33203125" defaultRowHeight="12.75" x14ac:dyDescent="0.2"/>
  <cols>
    <col min="1" max="1" width="62.1640625" style="77" customWidth="1"/>
    <col min="2" max="2" width="14.33203125" style="77" customWidth="1"/>
    <col min="3" max="3" width="10.1640625" style="77" bestFit="1" customWidth="1"/>
    <col min="4" max="4" width="14.33203125" style="77" customWidth="1"/>
    <col min="5" max="5" width="10.1640625" style="77" customWidth="1"/>
    <col min="6" max="6" width="14.33203125" style="77" customWidth="1"/>
    <col min="7" max="7" width="10.1640625" style="77" customWidth="1"/>
    <col min="8" max="10" width="9.33203125" style="77"/>
    <col min="11" max="11" width="14.1640625" style="77" bestFit="1" customWidth="1"/>
    <col min="12" max="13" width="12.83203125" style="77" bestFit="1" customWidth="1"/>
    <col min="14" max="16384" width="9.33203125" style="77"/>
  </cols>
  <sheetData>
    <row r="1" spans="1:7" ht="15.75" x14ac:dyDescent="0.25">
      <c r="A1" s="157" t="s">
        <v>152</v>
      </c>
      <c r="B1" s="157"/>
      <c r="C1" s="158"/>
      <c r="D1" s="158"/>
      <c r="E1" s="158"/>
      <c r="F1" s="158"/>
      <c r="G1" s="158"/>
    </row>
    <row r="2" spans="1:7" ht="15.75" x14ac:dyDescent="0.25">
      <c r="A2" s="157" t="s">
        <v>71</v>
      </c>
      <c r="B2" s="157"/>
      <c r="C2" s="158"/>
      <c r="D2" s="158"/>
      <c r="E2" s="158"/>
      <c r="F2" s="158"/>
      <c r="G2" s="158"/>
    </row>
    <row r="3" spans="1:7" ht="15.75" x14ac:dyDescent="0.25">
      <c r="A3" s="157" t="s">
        <v>72</v>
      </c>
      <c r="B3" s="157"/>
      <c r="C3" s="158"/>
      <c r="D3" s="158"/>
      <c r="E3" s="158"/>
      <c r="F3" s="158"/>
      <c r="G3" s="158"/>
    </row>
    <row r="4" spans="1:7" x14ac:dyDescent="0.2">
      <c r="A4" s="129"/>
      <c r="B4" s="129"/>
      <c r="C4" s="129"/>
      <c r="D4" s="129"/>
      <c r="E4" s="129"/>
      <c r="F4" s="129"/>
      <c r="G4" s="129"/>
    </row>
    <row r="5" spans="1:7" x14ac:dyDescent="0.2">
      <c r="A5" s="129"/>
      <c r="B5" s="68"/>
      <c r="C5" s="68"/>
      <c r="D5" s="68"/>
      <c r="E5" s="68"/>
      <c r="F5" s="68"/>
      <c r="G5" s="68"/>
    </row>
    <row r="6" spans="1:7" ht="25.5" customHeight="1" x14ac:dyDescent="0.2">
      <c r="A6" s="129"/>
      <c r="B6" s="159" t="s">
        <v>162</v>
      </c>
      <c r="C6" s="159"/>
      <c r="D6" s="159" t="s">
        <v>163</v>
      </c>
      <c r="E6" s="159"/>
      <c r="F6" s="159" t="s">
        <v>164</v>
      </c>
      <c r="G6" s="159"/>
    </row>
    <row r="7" spans="1:7" x14ac:dyDescent="0.2">
      <c r="A7" s="129"/>
      <c r="B7" s="49" t="s">
        <v>1</v>
      </c>
      <c r="C7" s="49"/>
      <c r="D7" s="49" t="s">
        <v>1</v>
      </c>
      <c r="E7" s="49"/>
      <c r="F7" s="49" t="s">
        <v>1</v>
      </c>
      <c r="G7" s="49"/>
    </row>
    <row r="8" spans="1:7" ht="12.75" customHeight="1" x14ac:dyDescent="0.2">
      <c r="A8" s="50" t="s">
        <v>73</v>
      </c>
      <c r="B8" s="107"/>
      <c r="C8" s="51"/>
      <c r="D8" s="107"/>
      <c r="E8" s="51"/>
      <c r="F8" s="107"/>
      <c r="G8" s="51"/>
    </row>
    <row r="9" spans="1:7" ht="12.75" customHeight="1" x14ac:dyDescent="0.2">
      <c r="A9" s="52" t="s">
        <v>74</v>
      </c>
      <c r="B9" s="111">
        <v>10.596673620000001</v>
      </c>
      <c r="C9" s="47"/>
      <c r="D9" s="111">
        <v>14.171967990000001</v>
      </c>
      <c r="E9" s="47"/>
      <c r="F9" s="108">
        <v>17.148689399999999</v>
      </c>
      <c r="G9" s="47"/>
    </row>
    <row r="10" spans="1:7" ht="12.75" customHeight="1" x14ac:dyDescent="0.2">
      <c r="A10" s="52"/>
      <c r="B10" s="112"/>
      <c r="C10" s="44"/>
      <c r="D10" s="112"/>
      <c r="E10" s="44"/>
      <c r="F10" s="44"/>
      <c r="G10" s="44"/>
    </row>
    <row r="11" spans="1:7" ht="12.75" customHeight="1" x14ac:dyDescent="0.2">
      <c r="A11" s="52" t="s">
        <v>186</v>
      </c>
      <c r="B11" s="113">
        <v>130.95294405999999</v>
      </c>
      <c r="C11" s="67">
        <f>B11/B9</f>
        <v>12.357929361232888</v>
      </c>
      <c r="D11" s="113">
        <v>174.54209757000001</v>
      </c>
      <c r="E11" s="67">
        <f>D11/D9</f>
        <v>12.316009864907972</v>
      </c>
      <c r="F11" s="45">
        <v>207.22499999999999</v>
      </c>
      <c r="G11" s="67">
        <f>F11/F9</f>
        <v>12.084013837232368</v>
      </c>
    </row>
    <row r="12" spans="1:7" ht="12.75" customHeight="1" x14ac:dyDescent="0.2">
      <c r="A12" s="52" t="s">
        <v>184</v>
      </c>
      <c r="B12" s="114">
        <v>136.89408308</v>
      </c>
      <c r="C12" s="53">
        <f>B12/B9</f>
        <v>12.918590115074243</v>
      </c>
      <c r="D12" s="114">
        <v>176.38488731999999</v>
      </c>
      <c r="E12" s="53">
        <f>D12/D9</f>
        <v>12.446040482483477</v>
      </c>
      <c r="F12" s="116">
        <v>193.636</v>
      </c>
      <c r="G12" s="118">
        <f>F12/F9</f>
        <v>11.291591764441195</v>
      </c>
    </row>
    <row r="13" spans="1:7" ht="12.75" customHeight="1" x14ac:dyDescent="0.2">
      <c r="A13" s="52" t="s">
        <v>75</v>
      </c>
      <c r="B13" s="47">
        <f t="shared" ref="B13" si="0">B11-B12</f>
        <v>-5.9411390200000085</v>
      </c>
      <c r="C13" s="54">
        <f>C11-C12</f>
        <v>-0.56066075384135594</v>
      </c>
      <c r="D13" s="47">
        <f t="shared" ref="D13" si="1">D11-D12</f>
        <v>-1.8427897499999801</v>
      </c>
      <c r="E13" s="54">
        <f>E11-E12</f>
        <v>-0.13003061757550505</v>
      </c>
      <c r="F13" s="47">
        <f t="shared" ref="F13" si="2">F11-F12</f>
        <v>13.588999999999999</v>
      </c>
      <c r="G13" s="54">
        <f>G11-G12</f>
        <v>0.79242207279117238</v>
      </c>
    </row>
    <row r="14" spans="1:7" ht="12.75" customHeight="1" x14ac:dyDescent="0.2">
      <c r="A14" s="52"/>
      <c r="B14" s="44"/>
      <c r="C14" s="44"/>
      <c r="D14" s="44"/>
      <c r="E14" s="44"/>
      <c r="F14" s="44"/>
      <c r="G14" s="44"/>
    </row>
    <row r="15" spans="1:7" ht="12.75" customHeight="1" x14ac:dyDescent="0.2">
      <c r="A15" s="50" t="s">
        <v>76</v>
      </c>
      <c r="B15" s="51"/>
      <c r="C15" s="51"/>
      <c r="D15" s="51"/>
      <c r="E15" s="51"/>
      <c r="F15" s="51"/>
      <c r="G15" s="51"/>
    </row>
    <row r="16" spans="1:7" ht="12.75" customHeight="1" x14ac:dyDescent="0.2">
      <c r="A16" s="52" t="s">
        <v>74</v>
      </c>
      <c r="B16" s="111">
        <v>1.4751245700000002</v>
      </c>
      <c r="C16" s="44"/>
      <c r="D16" s="111">
        <v>1.77923155</v>
      </c>
      <c r="E16" s="44"/>
      <c r="F16" s="108">
        <v>1.8924072700000001</v>
      </c>
      <c r="G16" s="44"/>
    </row>
    <row r="17" spans="1:7" ht="12.75" customHeight="1" x14ac:dyDescent="0.2">
      <c r="A17" s="52"/>
      <c r="B17" s="112"/>
      <c r="C17" s="44"/>
      <c r="D17" s="112"/>
      <c r="E17" s="44"/>
      <c r="F17" s="100"/>
      <c r="G17" s="44"/>
    </row>
    <row r="18" spans="1:7" ht="12.75" customHeight="1" x14ac:dyDescent="0.2">
      <c r="A18" s="52" t="s">
        <v>186</v>
      </c>
      <c r="B18" s="113">
        <v>112.36210797</v>
      </c>
      <c r="C18" s="67">
        <f>B18/B16</f>
        <v>76.171267332358227</v>
      </c>
      <c r="D18" s="113">
        <v>146.52700891000001</v>
      </c>
      <c r="E18" s="67">
        <f>D18/D16</f>
        <v>82.354097705832615</v>
      </c>
      <c r="F18" s="45">
        <v>219.28200000000001</v>
      </c>
      <c r="G18" s="67">
        <f>F18/F16</f>
        <v>115.87463411086981</v>
      </c>
    </row>
    <row r="19" spans="1:7" ht="12.75" customHeight="1" x14ac:dyDescent="0.2">
      <c r="A19" s="52" t="s">
        <v>184</v>
      </c>
      <c r="B19" s="114">
        <v>91.389610669999996</v>
      </c>
      <c r="C19" s="53">
        <f>B19/B16</f>
        <v>61.953825818249356</v>
      </c>
      <c r="D19" s="114">
        <v>103.94298645000001</v>
      </c>
      <c r="E19" s="53">
        <f>D19/D16</f>
        <v>58.420156977319792</v>
      </c>
      <c r="F19" s="116">
        <v>117.456</v>
      </c>
      <c r="G19" s="118">
        <f>F19/F16</f>
        <v>62.066977791730842</v>
      </c>
    </row>
    <row r="20" spans="1:7" ht="12.75" customHeight="1" x14ac:dyDescent="0.2">
      <c r="A20" s="52" t="s">
        <v>75</v>
      </c>
      <c r="B20" s="47">
        <f>B18-B19</f>
        <v>20.972497300000001</v>
      </c>
      <c r="C20" s="54">
        <f>C18-C19</f>
        <v>14.21744151410887</v>
      </c>
      <c r="D20" s="47">
        <f>D18-D19</f>
        <v>42.58402246</v>
      </c>
      <c r="E20" s="54">
        <f>E18-E19</f>
        <v>23.933940728512823</v>
      </c>
      <c r="F20" s="47">
        <f>F18-F19</f>
        <v>101.82600000000001</v>
      </c>
      <c r="G20" s="54">
        <f>G18-G19-0.01</f>
        <v>53.797656319138966</v>
      </c>
    </row>
    <row r="21" spans="1:7" ht="12.75" customHeight="1" x14ac:dyDescent="0.2">
      <c r="A21" s="50"/>
      <c r="B21" s="51"/>
      <c r="C21" s="51"/>
      <c r="D21" s="51"/>
      <c r="E21" s="51"/>
      <c r="F21" s="51"/>
      <c r="G21" s="51"/>
    </row>
    <row r="22" spans="1:7" ht="12.75" customHeight="1" x14ac:dyDescent="0.2">
      <c r="A22" s="50" t="s">
        <v>77</v>
      </c>
      <c r="B22" s="51"/>
      <c r="C22" s="51"/>
      <c r="D22" s="51"/>
      <c r="E22" s="51"/>
      <c r="F22" s="51"/>
      <c r="G22" s="51"/>
    </row>
    <row r="23" spans="1:7" ht="12.75" customHeight="1" x14ac:dyDescent="0.2">
      <c r="A23" s="52" t="s">
        <v>74</v>
      </c>
      <c r="B23" s="111">
        <v>1.0059772199999999</v>
      </c>
      <c r="C23" s="44"/>
      <c r="D23" s="111">
        <v>0.74333667000000003</v>
      </c>
      <c r="E23" s="44"/>
      <c r="F23" s="108">
        <v>1.9159776500000001</v>
      </c>
      <c r="G23" s="44"/>
    </row>
    <row r="24" spans="1:7" ht="12.75" customHeight="1" x14ac:dyDescent="0.2">
      <c r="A24" s="52"/>
      <c r="B24" s="112"/>
      <c r="C24" s="44"/>
      <c r="D24" s="112"/>
      <c r="E24" s="44"/>
      <c r="F24" s="44"/>
      <c r="G24" s="44"/>
    </row>
    <row r="25" spans="1:7" ht="12.75" customHeight="1" x14ac:dyDescent="0.2">
      <c r="A25" s="52" t="s">
        <v>186</v>
      </c>
      <c r="B25" s="113">
        <v>29.97542975</v>
      </c>
      <c r="C25" s="67">
        <f>B25/B23</f>
        <v>29.797324585540817</v>
      </c>
      <c r="D25" s="113">
        <v>25.509305699999999</v>
      </c>
      <c r="E25" s="67">
        <f>D25/D23</f>
        <v>34.317297571233766</v>
      </c>
      <c r="F25" s="45">
        <v>74.902000000000001</v>
      </c>
      <c r="G25" s="67">
        <f>F25/F23</f>
        <v>39.093357900077798</v>
      </c>
    </row>
    <row r="26" spans="1:7" ht="12.75" customHeight="1" x14ac:dyDescent="0.2">
      <c r="A26" s="52" t="s">
        <v>184</v>
      </c>
      <c r="B26" s="114">
        <v>35.574657330000001</v>
      </c>
      <c r="C26" s="53">
        <f>B26/B23</f>
        <v>35.363283206353323</v>
      </c>
      <c r="D26" s="114">
        <v>27.214506239999999</v>
      </c>
      <c r="E26" s="53">
        <f>D26/D23</f>
        <v>36.611279031882013</v>
      </c>
      <c r="F26" s="116">
        <v>64.41</v>
      </c>
      <c r="G26" s="118">
        <f>F26/F23</f>
        <v>33.617302373020891</v>
      </c>
    </row>
    <row r="27" spans="1:7" ht="12.75" customHeight="1" x14ac:dyDescent="0.2">
      <c r="A27" s="52" t="s">
        <v>75</v>
      </c>
      <c r="B27" s="47">
        <f t="shared" ref="B27" si="3">B25-B26</f>
        <v>-5.5992275800000009</v>
      </c>
      <c r="C27" s="54">
        <f>C25-C26+0.01</f>
        <v>-5.5559586208125058</v>
      </c>
      <c r="D27" s="47">
        <f t="shared" ref="D27" si="4">D25-D26</f>
        <v>-1.7052005399999999</v>
      </c>
      <c r="E27" s="54">
        <f>E25-E26</f>
        <v>-2.2939814606482472</v>
      </c>
      <c r="F27" s="47">
        <f t="shared" ref="F27" si="5">F25-F26</f>
        <v>10.492000000000004</v>
      </c>
      <c r="G27" s="54">
        <f>G25-G26-0.01</f>
        <v>5.4660555270569073</v>
      </c>
    </row>
    <row r="28" spans="1:7" ht="12.75" customHeight="1" x14ac:dyDescent="0.2">
      <c r="A28" s="50"/>
      <c r="B28" s="51"/>
      <c r="C28" s="51"/>
      <c r="D28" s="51"/>
      <c r="E28" s="51"/>
      <c r="F28" s="51"/>
      <c r="G28" s="51"/>
    </row>
    <row r="29" spans="1:7" ht="12.75" customHeight="1" x14ac:dyDescent="0.2">
      <c r="A29" s="50" t="s">
        <v>78</v>
      </c>
      <c r="B29" s="45">
        <f>B13+B20+B27</f>
        <v>9.4321306999999912</v>
      </c>
      <c r="C29" s="51"/>
      <c r="D29" s="45">
        <f>D13+D20+D27</f>
        <v>39.03603217000002</v>
      </c>
      <c r="E29" s="51"/>
      <c r="F29" s="45">
        <f>F13+F20+F27</f>
        <v>125.90700000000001</v>
      </c>
      <c r="G29" s="51"/>
    </row>
    <row r="30" spans="1:7" ht="12.75" customHeight="1" x14ac:dyDescent="0.2">
      <c r="A30" s="50"/>
      <c r="B30" s="51"/>
      <c r="C30" s="51"/>
      <c r="D30" s="51"/>
      <c r="E30" s="51"/>
      <c r="F30" s="51"/>
      <c r="G30" s="51"/>
    </row>
    <row r="31" spans="1:7" ht="12.75" customHeight="1" x14ac:dyDescent="0.2">
      <c r="A31" s="50" t="s">
        <v>185</v>
      </c>
      <c r="B31" s="47">
        <v>-19.738</v>
      </c>
      <c r="C31" s="51"/>
      <c r="D31" s="47">
        <v>-22.7</v>
      </c>
      <c r="E31" s="51"/>
      <c r="F31" s="47">
        <v>-25.2</v>
      </c>
      <c r="G31" s="51"/>
    </row>
    <row r="32" spans="1:7" ht="12.75" customHeight="1" x14ac:dyDescent="0.2">
      <c r="A32" s="50" t="s">
        <v>44</v>
      </c>
      <c r="B32" s="46">
        <v>-0.42199999999999999</v>
      </c>
      <c r="C32" s="51"/>
      <c r="D32" s="46">
        <v>-3.4</v>
      </c>
      <c r="E32" s="51"/>
      <c r="F32" s="116">
        <f>4.4+0.5</f>
        <v>4.9000000000000004</v>
      </c>
      <c r="G32" s="51"/>
    </row>
    <row r="33" spans="1:7" ht="12.75" customHeight="1" x14ac:dyDescent="0.2">
      <c r="A33" s="50"/>
      <c r="B33" s="51"/>
      <c r="C33" s="51"/>
      <c r="D33" s="51"/>
      <c r="E33" s="51"/>
      <c r="F33" s="51"/>
      <c r="G33" s="51"/>
    </row>
    <row r="34" spans="1:7" ht="16.5" customHeight="1" thickBot="1" x14ac:dyDescent="0.25">
      <c r="A34" s="50" t="s">
        <v>114</v>
      </c>
      <c r="B34" s="55">
        <f>SUM(B29:B32)</f>
        <v>-10.727869300000009</v>
      </c>
      <c r="C34" s="51"/>
      <c r="D34" s="55">
        <f>SUM(D29:D32)</f>
        <v>12.93603217000002</v>
      </c>
      <c r="E34" s="51"/>
      <c r="F34" s="55">
        <f>SUM(F29:F32)</f>
        <v>105.60700000000001</v>
      </c>
      <c r="G34" s="51"/>
    </row>
    <row r="35" spans="1:7" ht="12.75" customHeight="1" thickTop="1" x14ac:dyDescent="0.2">
      <c r="A35" s="50"/>
      <c r="B35" s="142"/>
      <c r="C35" s="51"/>
      <c r="D35" s="51"/>
      <c r="E35" s="51"/>
      <c r="F35" s="51"/>
      <c r="G35" s="51"/>
    </row>
    <row r="36" spans="1:7" ht="12.75" customHeight="1" x14ac:dyDescent="0.2">
      <c r="A36" s="56"/>
      <c r="B36" s="51"/>
      <c r="C36" s="51"/>
      <c r="D36" s="51"/>
      <c r="E36" s="51"/>
      <c r="F36" s="51"/>
      <c r="G36" s="51"/>
    </row>
    <row r="37" spans="1:7" x14ac:dyDescent="0.2">
      <c r="A37" s="50"/>
      <c r="B37" s="57"/>
      <c r="C37" s="50"/>
      <c r="D37" s="50"/>
      <c r="E37" s="50"/>
      <c r="F37" s="50"/>
      <c r="G37" s="50"/>
    </row>
    <row r="38" spans="1:7" x14ac:dyDescent="0.2">
      <c r="A38" s="50"/>
      <c r="B38" s="50"/>
      <c r="C38" s="50"/>
      <c r="D38" s="50"/>
      <c r="E38" s="50"/>
      <c r="F38" s="50"/>
      <c r="G38" s="50"/>
    </row>
  </sheetData>
  <mergeCells count="6">
    <mergeCell ref="A1:G1"/>
    <mergeCell ref="A2:G2"/>
    <mergeCell ref="A3:G3"/>
    <mergeCell ref="B6:C6"/>
    <mergeCell ref="D6:E6"/>
    <mergeCell ref="F6:G6"/>
  </mergeCells>
  <pageMargins left="0.7" right="0.7" top="0.75" bottom="0.75" header="0.3" footer="0.3"/>
  <pageSetup scale="74" orientation="portrait" r:id="rId1"/>
  <ignoredErrors>
    <ignoredError sqref="H9:I38" formulaRange="1"/>
    <ignoredError sqref="C2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39997558519241921"/>
    <pageSetUpPr fitToPage="1"/>
  </sheetPr>
  <dimension ref="A1:I46"/>
  <sheetViews>
    <sheetView zoomScaleNormal="100" workbookViewId="0">
      <selection activeCell="A32" sqref="A32"/>
    </sheetView>
  </sheetViews>
  <sheetFormatPr defaultColWidth="9.33203125" defaultRowHeight="12.75" x14ac:dyDescent="0.2"/>
  <cols>
    <col min="1" max="1" width="60" style="77" customWidth="1"/>
    <col min="2" max="6" width="20.83203125" style="77" customWidth="1"/>
    <col min="7" max="7" width="9.33203125" style="77"/>
    <col min="8" max="8" width="14.33203125" style="77" customWidth="1"/>
    <col min="9" max="16384" width="9.33203125" style="77"/>
  </cols>
  <sheetData>
    <row r="1" spans="1:9" ht="15.75" x14ac:dyDescent="0.25">
      <c r="A1" s="157" t="s">
        <v>152</v>
      </c>
      <c r="B1" s="157"/>
      <c r="C1" s="157"/>
      <c r="D1" s="157"/>
      <c r="E1" s="157"/>
      <c r="F1" s="157"/>
      <c r="G1" s="56"/>
      <c r="H1" s="56"/>
      <c r="I1" s="56"/>
    </row>
    <row r="2" spans="1:9" ht="15.75" x14ac:dyDescent="0.25">
      <c r="A2" s="157" t="s">
        <v>95</v>
      </c>
      <c r="B2" s="157"/>
      <c r="C2" s="157"/>
      <c r="D2" s="157"/>
      <c r="E2" s="157"/>
      <c r="F2" s="157"/>
      <c r="G2" s="56"/>
      <c r="H2" s="125"/>
      <c r="I2" s="56"/>
    </row>
    <row r="3" spans="1:9" ht="15.75" x14ac:dyDescent="0.25">
      <c r="A3" s="157" t="s">
        <v>127</v>
      </c>
      <c r="B3" s="157"/>
      <c r="C3" s="157"/>
      <c r="D3" s="157"/>
      <c r="E3" s="157"/>
      <c r="F3" s="157"/>
      <c r="G3" s="56"/>
      <c r="H3" s="125"/>
      <c r="I3" s="56"/>
    </row>
    <row r="4" spans="1:9" x14ac:dyDescent="0.2">
      <c r="A4" s="129"/>
      <c r="B4" s="129"/>
      <c r="C4" s="129"/>
      <c r="D4" s="129"/>
      <c r="E4" s="129"/>
      <c r="F4" s="129"/>
      <c r="G4" s="129"/>
      <c r="H4" s="129"/>
      <c r="I4" s="129"/>
    </row>
    <row r="5" spans="1:9" ht="27.75" customHeight="1" x14ac:dyDescent="0.2">
      <c r="A5" s="156" t="s">
        <v>179</v>
      </c>
      <c r="B5" s="155"/>
      <c r="C5" s="155"/>
      <c r="D5" s="155"/>
      <c r="E5" s="155"/>
      <c r="F5" s="155"/>
      <c r="G5" s="129"/>
      <c r="H5" s="129"/>
      <c r="I5" s="129"/>
    </row>
    <row r="6" spans="1:9" x14ac:dyDescent="0.2">
      <c r="A6" s="129"/>
      <c r="B6" s="129"/>
      <c r="C6" s="129"/>
      <c r="D6" s="129"/>
      <c r="E6" s="129"/>
      <c r="F6" s="129"/>
      <c r="G6" s="129"/>
      <c r="H6" s="129"/>
      <c r="I6" s="129"/>
    </row>
    <row r="7" spans="1:9" ht="15.75" customHeight="1" x14ac:dyDescent="0.2">
      <c r="A7" s="88" t="s">
        <v>108</v>
      </c>
      <c r="B7" s="87"/>
      <c r="C7" s="87"/>
      <c r="D7" s="87"/>
      <c r="E7" s="87"/>
      <c r="F7" s="87"/>
    </row>
    <row r="8" spans="1:9" x14ac:dyDescent="0.2">
      <c r="A8" s="161"/>
      <c r="B8" s="161"/>
      <c r="C8" s="161"/>
      <c r="D8" s="161"/>
      <c r="E8" s="161"/>
      <c r="F8" s="161"/>
    </row>
    <row r="9" spans="1:9" ht="91.5" customHeight="1" x14ac:dyDescent="0.2">
      <c r="A9" s="160" t="s">
        <v>180</v>
      </c>
      <c r="B9" s="160"/>
      <c r="C9" s="160"/>
      <c r="D9" s="160"/>
      <c r="E9" s="160"/>
      <c r="F9" s="160"/>
    </row>
    <row r="11" spans="1:9" ht="30" x14ac:dyDescent="0.25">
      <c r="A11" s="69" t="s">
        <v>160</v>
      </c>
      <c r="B11" s="70" t="s">
        <v>73</v>
      </c>
      <c r="C11" s="71" t="s">
        <v>76</v>
      </c>
      <c r="D11" s="71" t="s">
        <v>77</v>
      </c>
      <c r="E11" s="71" t="s">
        <v>96</v>
      </c>
      <c r="F11" s="72" t="s">
        <v>97</v>
      </c>
    </row>
    <row r="12" spans="1:9" x14ac:dyDescent="0.2">
      <c r="A12" s="128" t="s">
        <v>12</v>
      </c>
      <c r="B12" s="73"/>
      <c r="C12" s="74"/>
      <c r="D12" s="74"/>
      <c r="E12" s="74"/>
      <c r="F12" s="74"/>
    </row>
    <row r="13" spans="1:9" ht="25.5" x14ac:dyDescent="0.2">
      <c r="A13" s="128" t="s">
        <v>174</v>
      </c>
      <c r="B13" s="78">
        <f>SUM(B14:B18)</f>
        <v>133096</v>
      </c>
      <c r="C13" s="78">
        <f>SUM(C14:C18)</f>
        <v>138951.25</v>
      </c>
      <c r="D13" s="78">
        <f>SUM(D14:D18)</f>
        <v>41297</v>
      </c>
      <c r="E13" s="78">
        <f>SUM(E14:E18)</f>
        <v>6177.1799099999771</v>
      </c>
      <c r="F13" s="78">
        <f>SUM(B13:E13)</f>
        <v>319521.42990999995</v>
      </c>
      <c r="H13" s="150"/>
    </row>
    <row r="14" spans="1:9" ht="25.5" x14ac:dyDescent="0.2">
      <c r="A14" s="128" t="s">
        <v>177</v>
      </c>
      <c r="B14" s="78"/>
      <c r="C14" s="78"/>
      <c r="D14" s="78"/>
      <c r="E14" s="78"/>
      <c r="F14" s="78"/>
    </row>
    <row r="15" spans="1:9" ht="25.5" customHeight="1" x14ac:dyDescent="0.2">
      <c r="A15" s="131" t="s">
        <v>178</v>
      </c>
      <c r="B15" s="98">
        <v>0</v>
      </c>
      <c r="C15" s="92">
        <v>-258.75</v>
      </c>
      <c r="D15" s="92">
        <v>-2486</v>
      </c>
      <c r="E15" s="92">
        <v>0</v>
      </c>
      <c r="F15" s="98">
        <f>SUM(B15:E15)</f>
        <v>-2744.75</v>
      </c>
    </row>
    <row r="16" spans="1:9" ht="25.5" x14ac:dyDescent="0.2">
      <c r="A16" s="76" t="s">
        <v>98</v>
      </c>
      <c r="B16" s="98">
        <v>0</v>
      </c>
      <c r="C16" s="92">
        <v>0</v>
      </c>
      <c r="D16" s="92">
        <v>0</v>
      </c>
      <c r="E16" s="92">
        <v>6143.1799099999771</v>
      </c>
      <c r="F16" s="98">
        <f t="shared" ref="F16:F17" si="0">SUM(B16:E16)</f>
        <v>6143.1799099999771</v>
      </c>
    </row>
    <row r="17" spans="1:6" x14ac:dyDescent="0.2">
      <c r="A17" s="76" t="s">
        <v>99</v>
      </c>
      <c r="B17" s="98">
        <v>2143</v>
      </c>
      <c r="C17" s="92">
        <v>26848</v>
      </c>
      <c r="D17" s="92">
        <v>13807</v>
      </c>
      <c r="E17" s="92">
        <v>34</v>
      </c>
      <c r="F17" s="98">
        <f t="shared" si="0"/>
        <v>42832</v>
      </c>
    </row>
    <row r="18" spans="1:6" ht="13.5" thickBot="1" x14ac:dyDescent="0.25">
      <c r="A18" s="128" t="s">
        <v>100</v>
      </c>
      <c r="B18" s="94">
        <v>130953</v>
      </c>
      <c r="C18" s="94">
        <v>112362</v>
      </c>
      <c r="D18" s="94">
        <v>29976</v>
      </c>
      <c r="E18" s="94">
        <v>0</v>
      </c>
      <c r="F18" s="94">
        <f>SUM(B18:E18)</f>
        <v>273291</v>
      </c>
    </row>
    <row r="19" spans="1:6" ht="13.5" thickTop="1" x14ac:dyDescent="0.2">
      <c r="A19" s="128" t="s">
        <v>101</v>
      </c>
      <c r="B19" s="112">
        <v>10596.673620000001</v>
      </c>
      <c r="C19" s="112">
        <v>1475.1245700000002</v>
      </c>
      <c r="D19" s="112">
        <v>1005.9772199999999</v>
      </c>
      <c r="E19" s="78"/>
      <c r="F19" s="78"/>
    </row>
    <row r="20" spans="1:6" x14ac:dyDescent="0.2">
      <c r="A20" s="128" t="s">
        <v>102</v>
      </c>
      <c r="B20" s="93">
        <v>12.357929361232888</v>
      </c>
      <c r="C20" s="93">
        <v>76.171267332358227</v>
      </c>
      <c r="D20" s="93">
        <v>29.797324585540821</v>
      </c>
      <c r="E20" s="78"/>
      <c r="F20" s="78"/>
    </row>
    <row r="21" spans="1:6" x14ac:dyDescent="0.2">
      <c r="B21" s="108"/>
      <c r="C21" s="108"/>
      <c r="D21" s="108"/>
    </row>
    <row r="23" spans="1:6" ht="30" x14ac:dyDescent="0.25">
      <c r="A23" s="69" t="s">
        <v>140</v>
      </c>
      <c r="B23" s="70" t="s">
        <v>73</v>
      </c>
      <c r="C23" s="71" t="s">
        <v>76</v>
      </c>
      <c r="D23" s="71" t="s">
        <v>77</v>
      </c>
      <c r="E23" s="71" t="s">
        <v>96</v>
      </c>
      <c r="F23" s="72" t="s">
        <v>97</v>
      </c>
    </row>
    <row r="24" spans="1:6" x14ac:dyDescent="0.2">
      <c r="A24" s="128" t="s">
        <v>12</v>
      </c>
      <c r="B24" s="73"/>
      <c r="C24" s="74"/>
      <c r="D24" s="74"/>
      <c r="E24" s="74"/>
      <c r="F24" s="74"/>
    </row>
    <row r="25" spans="1:6" ht="25.5" x14ac:dyDescent="0.2">
      <c r="A25" s="128" t="s">
        <v>174</v>
      </c>
      <c r="B25" s="78">
        <v>178460</v>
      </c>
      <c r="C25" s="78">
        <v>182654</v>
      </c>
      <c r="D25" s="78">
        <v>31736</v>
      </c>
      <c r="E25" s="78">
        <v>12382</v>
      </c>
      <c r="F25" s="78">
        <f>SUM(B25:E25)</f>
        <v>405232</v>
      </c>
    </row>
    <row r="26" spans="1:6" ht="25.5" x14ac:dyDescent="0.2">
      <c r="A26" s="128" t="s">
        <v>177</v>
      </c>
      <c r="B26" s="78"/>
      <c r="C26" s="78"/>
      <c r="D26" s="78"/>
      <c r="E26" s="78"/>
      <c r="F26" s="78"/>
    </row>
    <row r="27" spans="1:6" ht="25.5" customHeight="1" x14ac:dyDescent="0.2">
      <c r="A27" s="131" t="s">
        <v>178</v>
      </c>
      <c r="B27" s="98">
        <v>0</v>
      </c>
      <c r="C27" s="92">
        <v>-261</v>
      </c>
      <c r="D27" s="92">
        <v>-1328</v>
      </c>
      <c r="E27" s="92">
        <v>0</v>
      </c>
      <c r="F27" s="98">
        <f>SUM(B27:E27)</f>
        <v>-1589</v>
      </c>
    </row>
    <row r="28" spans="1:6" ht="25.5" x14ac:dyDescent="0.2">
      <c r="A28" s="76" t="s">
        <v>98</v>
      </c>
      <c r="B28" s="98">
        <v>0</v>
      </c>
      <c r="C28" s="92">
        <v>0</v>
      </c>
      <c r="D28" s="92">
        <v>0</v>
      </c>
      <c r="E28" s="92">
        <v>12349</v>
      </c>
      <c r="F28" s="98">
        <f>SUM(B28:E28)</f>
        <v>12349</v>
      </c>
    </row>
    <row r="29" spans="1:6" x14ac:dyDescent="0.2">
      <c r="A29" s="76" t="s">
        <v>99</v>
      </c>
      <c r="B29" s="98">
        <v>3918</v>
      </c>
      <c r="C29" s="92">
        <v>36388</v>
      </c>
      <c r="D29" s="92">
        <v>7555</v>
      </c>
      <c r="E29" s="92">
        <v>33</v>
      </c>
      <c r="F29" s="98">
        <f>SUM(B29:E29)</f>
        <v>47894</v>
      </c>
    </row>
    <row r="30" spans="1:6" ht="13.5" thickBot="1" x14ac:dyDescent="0.25">
      <c r="A30" s="128" t="s">
        <v>100</v>
      </c>
      <c r="B30" s="94">
        <f>B25-SUM(B27:B29)</f>
        <v>174542</v>
      </c>
      <c r="C30" s="94">
        <f t="shared" ref="C30:E30" si="1">C25-SUM(C27:C29)</f>
        <v>146527</v>
      </c>
      <c r="D30" s="94">
        <f t="shared" si="1"/>
        <v>25509</v>
      </c>
      <c r="E30" s="94">
        <f t="shared" si="1"/>
        <v>0</v>
      </c>
      <c r="F30" s="94">
        <f>F25-SUM(F27:F29)</f>
        <v>346578</v>
      </c>
    </row>
    <row r="31" spans="1:6" ht="13.5" thickTop="1" x14ac:dyDescent="0.2">
      <c r="A31" s="128" t="s">
        <v>101</v>
      </c>
      <c r="B31" s="112">
        <v>14171.967989999999</v>
      </c>
      <c r="C31" s="112">
        <v>1779.2315500000002</v>
      </c>
      <c r="D31" s="112">
        <v>743.33667000000003</v>
      </c>
      <c r="E31" s="78"/>
      <c r="F31" s="78"/>
    </row>
    <row r="32" spans="1:6" x14ac:dyDescent="0.2">
      <c r="A32" s="128" t="s">
        <v>102</v>
      </c>
      <c r="B32" s="93">
        <f>B30/B31</f>
        <v>12.316002980190193</v>
      </c>
      <c r="C32" s="93">
        <f>C30/C31</f>
        <v>82.354092698052696</v>
      </c>
      <c r="D32" s="93">
        <f t="shared" ref="D32" si="2">D30/D31</f>
        <v>34.31688631747442</v>
      </c>
      <c r="E32" s="78"/>
      <c r="F32" s="78"/>
    </row>
    <row r="33" spans="1:6" x14ac:dyDescent="0.2">
      <c r="A33" s="126"/>
      <c r="B33" s="78"/>
      <c r="C33" s="78"/>
      <c r="D33" s="78"/>
      <c r="E33" s="78"/>
      <c r="F33" s="78"/>
    </row>
    <row r="34" spans="1:6" ht="15" x14ac:dyDescent="0.25">
      <c r="A34" s="79"/>
      <c r="B34" s="80"/>
      <c r="C34" s="81"/>
      <c r="D34" s="82"/>
      <c r="E34" s="82"/>
      <c r="F34" s="81"/>
    </row>
    <row r="35" spans="1:6" ht="30" x14ac:dyDescent="0.25">
      <c r="A35" s="69" t="s">
        <v>159</v>
      </c>
      <c r="B35" s="70" t="s">
        <v>73</v>
      </c>
      <c r="C35" s="71" t="s">
        <v>76</v>
      </c>
      <c r="D35" s="71" t="s">
        <v>77</v>
      </c>
      <c r="E35" s="71" t="s">
        <v>96</v>
      </c>
      <c r="F35" s="72" t="s">
        <v>97</v>
      </c>
    </row>
    <row r="36" spans="1:6" x14ac:dyDescent="0.2">
      <c r="A36" s="128" t="s">
        <v>12</v>
      </c>
      <c r="B36" s="73"/>
      <c r="C36" s="74"/>
      <c r="D36" s="74"/>
      <c r="E36" s="74"/>
      <c r="F36" s="74"/>
    </row>
    <row r="37" spans="1:6" ht="25.5" x14ac:dyDescent="0.2">
      <c r="A37" s="128" t="s">
        <v>174</v>
      </c>
      <c r="B37" s="78">
        <v>210149</v>
      </c>
      <c r="C37" s="78">
        <v>261245</v>
      </c>
      <c r="D37" s="78">
        <v>98205</v>
      </c>
      <c r="E37" s="78">
        <v>623</v>
      </c>
      <c r="F37" s="78">
        <f>SUM(B37:E37)</f>
        <v>570222</v>
      </c>
    </row>
    <row r="38" spans="1:6" ht="25.5" x14ac:dyDescent="0.2">
      <c r="A38" s="128" t="s">
        <v>177</v>
      </c>
      <c r="B38" s="78"/>
      <c r="C38" s="78"/>
      <c r="D38" s="78"/>
      <c r="E38" s="78"/>
      <c r="F38" s="78"/>
    </row>
    <row r="39" spans="1:6" ht="25.5" customHeight="1" x14ac:dyDescent="0.2">
      <c r="A39" s="131" t="s">
        <v>178</v>
      </c>
      <c r="B39" s="98">
        <v>0</v>
      </c>
      <c r="C39" s="92">
        <v>0</v>
      </c>
      <c r="D39" s="92">
        <v>-1036</v>
      </c>
      <c r="E39" s="92">
        <v>0</v>
      </c>
      <c r="F39" s="98">
        <f>SUM(B39:E39)</f>
        <v>-1036</v>
      </c>
    </row>
    <row r="40" spans="1:6" ht="25.5" x14ac:dyDescent="0.2">
      <c r="A40" s="76" t="s">
        <v>98</v>
      </c>
      <c r="B40" s="98">
        <v>0</v>
      </c>
      <c r="C40" s="92">
        <v>0</v>
      </c>
      <c r="D40" s="92">
        <v>0</v>
      </c>
      <c r="E40" s="92">
        <v>623</v>
      </c>
      <c r="F40" s="98">
        <f>SUM(B40:E40)</f>
        <v>623</v>
      </c>
    </row>
    <row r="41" spans="1:6" x14ac:dyDescent="0.2">
      <c r="A41" s="76" t="s">
        <v>99</v>
      </c>
      <c r="B41" s="98">
        <v>2924</v>
      </c>
      <c r="C41" s="92">
        <v>41963</v>
      </c>
      <c r="D41" s="92">
        <v>24339</v>
      </c>
      <c r="E41" s="92">
        <v>0</v>
      </c>
      <c r="F41" s="98">
        <f>SUM(B41:E41)</f>
        <v>69226</v>
      </c>
    </row>
    <row r="42" spans="1:6" ht="13.5" thickBot="1" x14ac:dyDescent="0.25">
      <c r="A42" s="128" t="s">
        <v>100</v>
      </c>
      <c r="B42" s="94">
        <f>B37-SUM(B39:B41)</f>
        <v>207225</v>
      </c>
      <c r="C42" s="94">
        <f t="shared" ref="C42:E42" si="3">C37-SUM(C39:C41)</f>
        <v>219282</v>
      </c>
      <c r="D42" s="94">
        <f t="shared" si="3"/>
        <v>74902</v>
      </c>
      <c r="E42" s="94">
        <f t="shared" si="3"/>
        <v>0</v>
      </c>
      <c r="F42" s="94">
        <f>F37-SUM(F39:F41)</f>
        <v>501409</v>
      </c>
    </row>
    <row r="43" spans="1:6" ht="13.5" thickTop="1" x14ac:dyDescent="0.2">
      <c r="A43" s="128" t="s">
        <v>101</v>
      </c>
      <c r="B43" s="98">
        <v>17148.689400000003</v>
      </c>
      <c r="C43" s="98">
        <v>1892.4072699999999</v>
      </c>
      <c r="D43" s="98">
        <v>1915.9776499999998</v>
      </c>
      <c r="E43" s="78"/>
      <c r="F43" s="78"/>
    </row>
    <row r="44" spans="1:6" x14ac:dyDescent="0.2">
      <c r="A44" s="128" t="s">
        <v>102</v>
      </c>
      <c r="B44" s="93">
        <f>B42/B43</f>
        <v>12.084013837232364</v>
      </c>
      <c r="C44" s="93">
        <f>C42/C43</f>
        <v>115.87463411086981</v>
      </c>
      <c r="D44" s="93">
        <f t="shared" ref="D44" si="4">D42/D43</f>
        <v>39.093357900077805</v>
      </c>
      <c r="E44" s="78"/>
      <c r="F44" s="78"/>
    </row>
    <row r="45" spans="1:6" x14ac:dyDescent="0.2">
      <c r="A45" s="128"/>
      <c r="B45" s="73"/>
      <c r="C45" s="74"/>
      <c r="D45" s="74"/>
      <c r="E45" s="74"/>
      <c r="F45" s="74"/>
    </row>
    <row r="46" spans="1:6" ht="15" x14ac:dyDescent="0.25">
      <c r="A46" s="83"/>
      <c r="B46" s="84"/>
      <c r="C46" s="85"/>
      <c r="D46" s="86"/>
      <c r="E46" s="86"/>
      <c r="F46" s="85"/>
    </row>
  </sheetData>
  <mergeCells count="6">
    <mergeCell ref="A9:F9"/>
    <mergeCell ref="A8:F8"/>
    <mergeCell ref="A5:F5"/>
    <mergeCell ref="A1:F1"/>
    <mergeCell ref="A2:F2"/>
    <mergeCell ref="A3:F3"/>
  </mergeCells>
  <pageMargins left="0.7" right="0.7" top="0.75" bottom="0.75" header="0.3" footer="0.3"/>
  <pageSetup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39997558519241921"/>
    <pageSetUpPr fitToPage="1"/>
  </sheetPr>
  <dimension ref="A1:I47"/>
  <sheetViews>
    <sheetView workbookViewId="0">
      <selection activeCell="A32" sqref="A32"/>
    </sheetView>
  </sheetViews>
  <sheetFormatPr defaultColWidth="9.33203125" defaultRowHeight="12.75" x14ac:dyDescent="0.2"/>
  <cols>
    <col min="1" max="1" width="59.6640625" style="77" bestFit="1" customWidth="1"/>
    <col min="2" max="6" width="20.83203125" style="77" customWidth="1"/>
    <col min="7" max="7" width="9.33203125" style="77"/>
    <col min="8" max="8" width="14.33203125" style="77" customWidth="1"/>
    <col min="9" max="9" width="10.83203125" style="77" bestFit="1" customWidth="1"/>
    <col min="10" max="16384" width="9.33203125" style="77"/>
  </cols>
  <sheetData>
    <row r="1" spans="1:9" ht="15.75" x14ac:dyDescent="0.25">
      <c r="A1" s="157" t="s">
        <v>152</v>
      </c>
      <c r="B1" s="157"/>
      <c r="C1" s="157"/>
      <c r="D1" s="157"/>
      <c r="E1" s="157"/>
      <c r="F1" s="157"/>
      <c r="G1" s="56"/>
      <c r="H1" s="56"/>
      <c r="I1" s="56"/>
    </row>
    <row r="2" spans="1:9" ht="15.75" x14ac:dyDescent="0.25">
      <c r="A2" s="157" t="s">
        <v>95</v>
      </c>
      <c r="B2" s="157"/>
      <c r="C2" s="157"/>
      <c r="D2" s="157"/>
      <c r="E2" s="157"/>
      <c r="F2" s="157"/>
      <c r="G2" s="56"/>
      <c r="H2" s="125"/>
      <c r="I2" s="56"/>
    </row>
    <row r="3" spans="1:9" ht="15.75" x14ac:dyDescent="0.25">
      <c r="A3" s="157" t="s">
        <v>127</v>
      </c>
      <c r="B3" s="157"/>
      <c r="C3" s="157"/>
      <c r="D3" s="157"/>
      <c r="E3" s="157"/>
      <c r="F3" s="157"/>
      <c r="G3" s="56"/>
      <c r="H3" s="125"/>
      <c r="I3" s="56"/>
    </row>
    <row r="4" spans="1:9" x14ac:dyDescent="0.2">
      <c r="A4" s="129"/>
      <c r="B4" s="129"/>
      <c r="C4" s="129"/>
      <c r="D4" s="129"/>
      <c r="E4" s="129"/>
      <c r="F4" s="129"/>
      <c r="G4" s="129"/>
      <c r="H4" s="129"/>
      <c r="I4" s="129"/>
    </row>
    <row r="5" spans="1:9" ht="16.5" customHeight="1" x14ac:dyDescent="0.2">
      <c r="A5" s="88" t="s">
        <v>109</v>
      </c>
      <c r="B5" s="87"/>
      <c r="C5" s="87"/>
      <c r="D5" s="87"/>
      <c r="E5" s="87"/>
      <c r="F5" s="87"/>
    </row>
    <row r="6" spans="1:9" x14ac:dyDescent="0.2">
      <c r="A6" s="161"/>
      <c r="B6" s="161"/>
      <c r="C6" s="161"/>
      <c r="D6" s="161"/>
      <c r="E6" s="161"/>
      <c r="F6" s="161"/>
    </row>
    <row r="7" spans="1:9" ht="80.25" customHeight="1" x14ac:dyDescent="0.2">
      <c r="A7" s="160" t="s">
        <v>181</v>
      </c>
      <c r="B7" s="160"/>
      <c r="C7" s="160"/>
      <c r="D7" s="160"/>
      <c r="E7" s="160"/>
      <c r="F7" s="160"/>
    </row>
    <row r="9" spans="1:9" ht="30" x14ac:dyDescent="0.25">
      <c r="A9" s="69" t="str">
        <f>'NON-GAAP Sales'!A11</f>
        <v>Quarter ended June 30, 2020</v>
      </c>
      <c r="B9" s="70" t="s">
        <v>73</v>
      </c>
      <c r="C9" s="71" t="s">
        <v>76</v>
      </c>
      <c r="D9" s="71" t="s">
        <v>77</v>
      </c>
      <c r="E9" s="71" t="s">
        <v>96</v>
      </c>
      <c r="F9" s="72" t="s">
        <v>97</v>
      </c>
    </row>
    <row r="10" spans="1:9" x14ac:dyDescent="0.2">
      <c r="A10" s="128" t="s">
        <v>12</v>
      </c>
      <c r="B10" s="73"/>
      <c r="C10" s="74"/>
      <c r="D10" s="74"/>
      <c r="E10" s="74"/>
      <c r="F10" s="74"/>
    </row>
    <row r="11" spans="1:9" ht="25.5" x14ac:dyDescent="0.2">
      <c r="A11" s="128" t="s">
        <v>175</v>
      </c>
      <c r="B11" s="78">
        <f>SUM(B12:B17)</f>
        <v>138026</v>
      </c>
      <c r="C11" s="78">
        <f>SUM(C12:C17)</f>
        <v>118238</v>
      </c>
      <c r="D11" s="78">
        <f>SUM(D12:D17)</f>
        <v>49382</v>
      </c>
      <c r="E11" s="78">
        <f>SUM(E12:E17)</f>
        <v>10702.004280000008</v>
      </c>
      <c r="F11" s="78">
        <f>SUM(B11:E11)</f>
        <v>316348.00427999999</v>
      </c>
      <c r="I11" s="141"/>
    </row>
    <row r="12" spans="1:9" ht="25.5" x14ac:dyDescent="0.2">
      <c r="A12" s="128" t="s">
        <v>176</v>
      </c>
      <c r="B12" s="78"/>
      <c r="C12" s="78"/>
      <c r="D12" s="78"/>
      <c r="E12" s="78"/>
      <c r="F12" s="78"/>
    </row>
    <row r="13" spans="1:9" ht="25.5" x14ac:dyDescent="0.2">
      <c r="A13" s="76" t="s">
        <v>103</v>
      </c>
      <c r="B13" s="98">
        <v>-1011</v>
      </c>
      <c r="C13" s="92">
        <v>0</v>
      </c>
      <c r="D13" s="92">
        <v>0</v>
      </c>
      <c r="E13" s="92">
        <v>0</v>
      </c>
      <c r="F13" s="98">
        <v>-1011</v>
      </c>
    </row>
    <row r="14" spans="1:9" x14ac:dyDescent="0.2">
      <c r="A14" s="76" t="s">
        <v>99</v>
      </c>
      <c r="B14" s="98">
        <f>'NON-GAAP Sales'!B17</f>
        <v>2143</v>
      </c>
      <c r="C14" s="98">
        <f>'NON-GAAP Sales'!C17</f>
        <v>26848</v>
      </c>
      <c r="D14" s="98">
        <f>'NON-GAAP Sales'!D17</f>
        <v>13807</v>
      </c>
      <c r="E14" s="98">
        <f>'NON-GAAP Sales'!E17</f>
        <v>34</v>
      </c>
      <c r="F14" s="98">
        <f>SUM(B14:E14)</f>
        <v>42832</v>
      </c>
    </row>
    <row r="15" spans="1:9" ht="25.5" x14ac:dyDescent="0.2">
      <c r="A15" s="76" t="s">
        <v>104</v>
      </c>
      <c r="B15" s="98">
        <v>0</v>
      </c>
      <c r="C15" s="92">
        <v>0</v>
      </c>
      <c r="D15" s="92">
        <v>0</v>
      </c>
      <c r="E15" s="92">
        <v>9068.4555199999995</v>
      </c>
      <c r="F15" s="98">
        <f t="shared" ref="F15:F16" si="0">SUM(B15:E15)</f>
        <v>9068.4555199999995</v>
      </c>
    </row>
    <row r="16" spans="1:9" x14ac:dyDescent="0.2">
      <c r="A16" s="76" t="s">
        <v>105</v>
      </c>
      <c r="B16" s="98">
        <v>0</v>
      </c>
      <c r="C16" s="92">
        <v>0</v>
      </c>
      <c r="D16" s="92">
        <v>0</v>
      </c>
      <c r="E16" s="98">
        <v>1599.5487600000088</v>
      </c>
      <c r="F16" s="98">
        <f t="shared" si="0"/>
        <v>1599.5487600000088</v>
      </c>
    </row>
    <row r="17" spans="1:6" ht="13.5" thickBot="1" x14ac:dyDescent="0.25">
      <c r="A17" s="128" t="s">
        <v>106</v>
      </c>
      <c r="B17" s="94">
        <v>136894</v>
      </c>
      <c r="C17" s="94">
        <v>91390</v>
      </c>
      <c r="D17" s="94">
        <v>35575</v>
      </c>
      <c r="E17" s="94">
        <v>0</v>
      </c>
      <c r="F17" s="94">
        <f>SUM(B17:E17)</f>
        <v>263859</v>
      </c>
    </row>
    <row r="18" spans="1:6" ht="13.5" thickTop="1" x14ac:dyDescent="0.2">
      <c r="A18" s="128" t="s">
        <v>101</v>
      </c>
      <c r="B18" s="98">
        <f>'NON-GAAP Sales'!B19</f>
        <v>10596.673620000001</v>
      </c>
      <c r="C18" s="98">
        <f>'NON-GAAP Sales'!C19</f>
        <v>1475.1245700000002</v>
      </c>
      <c r="D18" s="98">
        <f>'NON-GAAP Sales'!D19</f>
        <v>1005.9772199999999</v>
      </c>
      <c r="E18" s="78"/>
      <c r="F18" s="78"/>
    </row>
    <row r="19" spans="1:6" x14ac:dyDescent="0.2">
      <c r="A19" s="128" t="s">
        <v>107</v>
      </c>
      <c r="B19" s="93">
        <f>B17/B18</f>
        <v>12.918582274878066</v>
      </c>
      <c r="C19" s="93">
        <f>C17/C18</f>
        <v>61.954089748501708</v>
      </c>
      <c r="D19" s="93">
        <f>D17/D18</f>
        <v>35.363623840309231</v>
      </c>
      <c r="E19" s="78"/>
      <c r="F19" s="78"/>
    </row>
    <row r="20" spans="1:6" x14ac:dyDescent="0.2">
      <c r="A20" s="128"/>
      <c r="B20" s="75"/>
      <c r="C20" s="75"/>
      <c r="D20" s="75"/>
      <c r="E20" s="75"/>
      <c r="F20" s="75"/>
    </row>
    <row r="21" spans="1:6" ht="15" x14ac:dyDescent="0.25">
      <c r="A21" s="83"/>
      <c r="B21" s="84"/>
      <c r="C21" s="85"/>
      <c r="D21" s="84"/>
      <c r="E21" s="86"/>
      <c r="F21" s="85"/>
    </row>
    <row r="22" spans="1:6" ht="30" x14ac:dyDescent="0.25">
      <c r="A22" s="69" t="str">
        <f>'NON-GAAP Sales'!A23</f>
        <v>Quarter ended March 31, 2020</v>
      </c>
      <c r="B22" s="70" t="s">
        <v>73</v>
      </c>
      <c r="C22" s="71" t="s">
        <v>76</v>
      </c>
      <c r="D22" s="71" t="s">
        <v>77</v>
      </c>
      <c r="E22" s="71" t="s">
        <v>96</v>
      </c>
      <c r="F22" s="72" t="s">
        <v>97</v>
      </c>
    </row>
    <row r="23" spans="1:6" x14ac:dyDescent="0.2">
      <c r="A23" s="128" t="s">
        <v>12</v>
      </c>
      <c r="B23" s="73"/>
      <c r="C23" s="74"/>
      <c r="D23" s="74"/>
      <c r="E23" s="74"/>
      <c r="F23" s="74"/>
    </row>
    <row r="24" spans="1:6" ht="25.5" x14ac:dyDescent="0.2">
      <c r="A24" s="128" t="s">
        <v>175</v>
      </c>
      <c r="B24" s="78">
        <v>179617</v>
      </c>
      <c r="C24" s="78">
        <v>140331</v>
      </c>
      <c r="D24" s="78">
        <v>34770</v>
      </c>
      <c r="E24" s="78">
        <v>20281</v>
      </c>
      <c r="F24" s="78">
        <f>SUM(B24:E24)</f>
        <v>374999</v>
      </c>
    </row>
    <row r="25" spans="1:6" ht="25.5" x14ac:dyDescent="0.2">
      <c r="A25" s="128" t="s">
        <v>176</v>
      </c>
      <c r="B25" s="78"/>
      <c r="C25" s="78"/>
      <c r="D25" s="78"/>
      <c r="E25" s="78"/>
      <c r="F25" s="78"/>
    </row>
    <row r="26" spans="1:6" ht="25.5" x14ac:dyDescent="0.2">
      <c r="A26" s="76" t="s">
        <v>103</v>
      </c>
      <c r="B26" s="98">
        <v>-686</v>
      </c>
      <c r="C26" s="92">
        <v>0</v>
      </c>
      <c r="D26" s="92">
        <v>0</v>
      </c>
      <c r="E26" s="92">
        <v>0</v>
      </c>
      <c r="F26" s="98">
        <f>SUM(B26:E26)</f>
        <v>-686</v>
      </c>
    </row>
    <row r="27" spans="1:6" x14ac:dyDescent="0.2">
      <c r="A27" s="76" t="s">
        <v>99</v>
      </c>
      <c r="B27" s="99">
        <f>'NON-GAAP Sales'!B29</f>
        <v>3918</v>
      </c>
      <c r="C27" s="99">
        <f>'NON-GAAP Sales'!C29</f>
        <v>36388</v>
      </c>
      <c r="D27" s="99">
        <f>'NON-GAAP Sales'!D29</f>
        <v>7555</v>
      </c>
      <c r="E27" s="99">
        <f>'NON-GAAP Sales'!E29</f>
        <v>33</v>
      </c>
      <c r="F27" s="98">
        <f t="shared" ref="F27:F29" si="1">SUM(B27:E27)</f>
        <v>47894</v>
      </c>
    </row>
    <row r="28" spans="1:6" ht="25.5" x14ac:dyDescent="0.2">
      <c r="A28" s="76" t="s">
        <v>104</v>
      </c>
      <c r="B28" s="98">
        <v>0</v>
      </c>
      <c r="C28" s="92">
        <v>0</v>
      </c>
      <c r="D28" s="92">
        <v>0</v>
      </c>
      <c r="E28" s="92">
        <v>17885</v>
      </c>
      <c r="F28" s="98">
        <f t="shared" si="1"/>
        <v>17885</v>
      </c>
    </row>
    <row r="29" spans="1:6" x14ac:dyDescent="0.2">
      <c r="A29" s="76" t="s">
        <v>105</v>
      </c>
      <c r="B29" s="98">
        <v>0</v>
      </c>
      <c r="C29" s="92">
        <v>0</v>
      </c>
      <c r="D29" s="92">
        <v>0</v>
      </c>
      <c r="E29" s="98">
        <v>2363</v>
      </c>
      <c r="F29" s="98">
        <f t="shared" si="1"/>
        <v>2363</v>
      </c>
    </row>
    <row r="30" spans="1:6" ht="13.5" thickBot="1" x14ac:dyDescent="0.25">
      <c r="A30" s="128" t="s">
        <v>106</v>
      </c>
      <c r="B30" s="94">
        <f>B24-SUM(B26:B29)</f>
        <v>176385</v>
      </c>
      <c r="C30" s="94">
        <f t="shared" ref="C30:F30" si="2">C24-SUM(C26:C29)</f>
        <v>103943</v>
      </c>
      <c r="D30" s="94">
        <f t="shared" si="2"/>
        <v>27215</v>
      </c>
      <c r="E30" s="94">
        <f t="shared" si="2"/>
        <v>0</v>
      </c>
      <c r="F30" s="94">
        <f t="shared" si="2"/>
        <v>307543</v>
      </c>
    </row>
    <row r="31" spans="1:6" ht="13.5" thickTop="1" x14ac:dyDescent="0.2">
      <c r="A31" s="128" t="s">
        <v>101</v>
      </c>
      <c r="B31" s="99">
        <f>'NON-GAAP Sales'!B31</f>
        <v>14171.967989999999</v>
      </c>
      <c r="C31" s="99">
        <f>'NON-GAAP Sales'!C31</f>
        <v>1779.2315500000002</v>
      </c>
      <c r="D31" s="99">
        <f>'NON-GAAP Sales'!D31</f>
        <v>743.33667000000003</v>
      </c>
      <c r="E31" s="78"/>
      <c r="F31" s="78"/>
    </row>
    <row r="32" spans="1:6" x14ac:dyDescent="0.2">
      <c r="A32" s="128" t="s">
        <v>107</v>
      </c>
      <c r="B32" s="93">
        <f>B30/B31</f>
        <v>12.446048433390514</v>
      </c>
      <c r="C32" s="93">
        <f>C30/C31</f>
        <v>58.420164592967112</v>
      </c>
      <c r="D32" s="93">
        <f>D30/D31</f>
        <v>36.611943280021421</v>
      </c>
      <c r="E32" s="78"/>
      <c r="F32" s="78"/>
    </row>
    <row r="33" spans="1:6" x14ac:dyDescent="0.2">
      <c r="A33" s="128"/>
      <c r="B33" s="73"/>
      <c r="C33" s="74"/>
      <c r="D33" s="74"/>
      <c r="E33" s="74"/>
      <c r="F33" s="74"/>
    </row>
    <row r="34" spans="1:6" ht="15" x14ac:dyDescent="0.25">
      <c r="A34" s="83"/>
      <c r="B34" s="84"/>
      <c r="C34" s="85"/>
      <c r="D34" s="86"/>
      <c r="E34" s="86"/>
      <c r="F34" s="85"/>
    </row>
    <row r="35" spans="1:6" ht="30" x14ac:dyDescent="0.25">
      <c r="A35" s="69" t="str">
        <f>'NON-GAAP Sales'!A35</f>
        <v>Quarter ended June 30, 2019</v>
      </c>
      <c r="B35" s="70" t="s">
        <v>73</v>
      </c>
      <c r="C35" s="71" t="s">
        <v>76</v>
      </c>
      <c r="D35" s="71" t="s">
        <v>77</v>
      </c>
      <c r="E35" s="71" t="s">
        <v>96</v>
      </c>
      <c r="F35" s="72" t="s">
        <v>97</v>
      </c>
    </row>
    <row r="36" spans="1:6" x14ac:dyDescent="0.2">
      <c r="A36" s="128" t="s">
        <v>12</v>
      </c>
      <c r="B36" s="73"/>
      <c r="C36" s="74"/>
      <c r="D36" s="74"/>
      <c r="E36" s="74"/>
      <c r="F36" s="74"/>
    </row>
    <row r="37" spans="1:6" ht="25.5" x14ac:dyDescent="0.2">
      <c r="A37" s="128" t="s">
        <v>175</v>
      </c>
      <c r="B37" s="78">
        <v>195948</v>
      </c>
      <c r="C37" s="78">
        <v>159419</v>
      </c>
      <c r="D37" s="78">
        <v>88749</v>
      </c>
      <c r="E37" s="78">
        <v>6972</v>
      </c>
      <c r="F37" s="78">
        <f>SUM(B37:E37)</f>
        <v>451088</v>
      </c>
    </row>
    <row r="38" spans="1:6" ht="25.5" x14ac:dyDescent="0.2">
      <c r="A38" s="128" t="s">
        <v>176</v>
      </c>
      <c r="B38" s="78"/>
      <c r="C38" s="78"/>
      <c r="D38" s="78"/>
      <c r="E38" s="78"/>
      <c r="F38" s="78"/>
    </row>
    <row r="39" spans="1:6" ht="25.5" x14ac:dyDescent="0.2">
      <c r="A39" s="76" t="s">
        <v>103</v>
      </c>
      <c r="B39" s="98">
        <v>-612</v>
      </c>
      <c r="C39" s="92">
        <v>0</v>
      </c>
      <c r="D39" s="92">
        <v>0</v>
      </c>
      <c r="E39" s="92">
        <v>0</v>
      </c>
      <c r="F39" s="98">
        <f>SUM(B39:E39)</f>
        <v>-612</v>
      </c>
    </row>
    <row r="40" spans="1:6" x14ac:dyDescent="0.2">
      <c r="A40" s="76" t="s">
        <v>99</v>
      </c>
      <c r="B40" s="99">
        <f>'NON-GAAP Sales'!B41</f>
        <v>2924</v>
      </c>
      <c r="C40" s="99">
        <f>'NON-GAAP Sales'!C41</f>
        <v>41963</v>
      </c>
      <c r="D40" s="99">
        <f>'NON-GAAP Sales'!D41</f>
        <v>24339</v>
      </c>
      <c r="E40" s="99">
        <f>'NON-GAAP Sales'!E41</f>
        <v>0</v>
      </c>
      <c r="F40" s="98">
        <f t="shared" ref="F40:F42" si="3">SUM(B40:E40)</f>
        <v>69226</v>
      </c>
    </row>
    <row r="41" spans="1:6" ht="25.5" x14ac:dyDescent="0.2">
      <c r="A41" s="76" t="s">
        <v>104</v>
      </c>
      <c r="B41" s="98">
        <v>0</v>
      </c>
      <c r="C41" s="92">
        <v>0</v>
      </c>
      <c r="D41" s="92">
        <v>0</v>
      </c>
      <c r="E41" s="92">
        <v>4580</v>
      </c>
      <c r="F41" s="98">
        <f t="shared" si="3"/>
        <v>4580</v>
      </c>
    </row>
    <row r="42" spans="1:6" x14ac:dyDescent="0.2">
      <c r="A42" s="76" t="s">
        <v>105</v>
      </c>
      <c r="B42" s="98">
        <v>0</v>
      </c>
      <c r="C42" s="92">
        <v>0</v>
      </c>
      <c r="D42" s="92">
        <v>0</v>
      </c>
      <c r="E42" s="98">
        <v>2392</v>
      </c>
      <c r="F42" s="98">
        <f t="shared" si="3"/>
        <v>2392</v>
      </c>
    </row>
    <row r="43" spans="1:6" ht="13.5" thickBot="1" x14ac:dyDescent="0.25">
      <c r="A43" s="128" t="s">
        <v>106</v>
      </c>
      <c r="B43" s="94">
        <f>B37-SUM(B39:B42)</f>
        <v>193636</v>
      </c>
      <c r="C43" s="94">
        <f t="shared" ref="C43" si="4">C37-SUM(C39:C42)</f>
        <v>117456</v>
      </c>
      <c r="D43" s="94">
        <f t="shared" ref="D43" si="5">D37-SUM(D39:D42)</f>
        <v>64410</v>
      </c>
      <c r="E43" s="94">
        <f t="shared" ref="E43" si="6">E37-SUM(E39:E42)</f>
        <v>0</v>
      </c>
      <c r="F43" s="94">
        <f t="shared" ref="F43" si="7">F37-SUM(F39:F42)</f>
        <v>375502</v>
      </c>
    </row>
    <row r="44" spans="1:6" ht="13.5" thickTop="1" x14ac:dyDescent="0.2">
      <c r="A44" s="128" t="s">
        <v>101</v>
      </c>
      <c r="B44" s="98">
        <f>'NON-GAAP Sales'!B43</f>
        <v>17148.689400000003</v>
      </c>
      <c r="C44" s="98">
        <f>'NON-GAAP Sales'!C43</f>
        <v>1892.4072699999999</v>
      </c>
      <c r="D44" s="98">
        <f>'NON-GAAP Sales'!D43</f>
        <v>1915.9776499999998</v>
      </c>
      <c r="E44" s="78"/>
      <c r="F44" s="78"/>
    </row>
    <row r="45" spans="1:6" x14ac:dyDescent="0.2">
      <c r="A45" s="128" t="s">
        <v>107</v>
      </c>
      <c r="B45" s="93">
        <f>B43/B44</f>
        <v>11.291591764441192</v>
      </c>
      <c r="C45" s="93">
        <f t="shared" ref="C45" si="8">C43/C44</f>
        <v>62.066977791730849</v>
      </c>
      <c r="D45" s="93">
        <f t="shared" ref="D45" si="9">D43/D44</f>
        <v>33.617302373020898</v>
      </c>
      <c r="E45" s="78"/>
      <c r="F45" s="78"/>
    </row>
    <row r="46" spans="1:6" x14ac:dyDescent="0.2">
      <c r="A46" s="128"/>
      <c r="B46" s="73"/>
      <c r="C46" s="74"/>
      <c r="D46" s="74"/>
      <c r="E46" s="74"/>
      <c r="F46" s="74"/>
    </row>
    <row r="47" spans="1:6" ht="15" x14ac:dyDescent="0.25">
      <c r="A47" s="83"/>
      <c r="B47" s="84"/>
      <c r="C47" s="85"/>
      <c r="D47" s="86"/>
      <c r="E47" s="86"/>
      <c r="F47" s="85"/>
    </row>
  </sheetData>
  <mergeCells count="5">
    <mergeCell ref="A6:F6"/>
    <mergeCell ref="A1:F1"/>
    <mergeCell ref="A2:F2"/>
    <mergeCell ref="A3:F3"/>
    <mergeCell ref="A7:F7"/>
  </mergeCells>
  <pageMargins left="0.7" right="0.7" top="0.75" bottom="0.75" header="0.3" footer="0.3"/>
  <pageSetup scale="6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tint="0.39997558519241921"/>
  </sheetPr>
  <dimension ref="A1:H42"/>
  <sheetViews>
    <sheetView zoomScaleNormal="100" workbookViewId="0">
      <selection activeCell="A32" sqref="A32"/>
    </sheetView>
  </sheetViews>
  <sheetFormatPr defaultColWidth="21.5" defaultRowHeight="13.5" customHeight="1" x14ac:dyDescent="0.2"/>
  <cols>
    <col min="1" max="1" width="75.83203125" style="128" customWidth="1"/>
    <col min="2" max="3" width="19" style="128" customWidth="1"/>
    <col min="4" max="4" width="2.1640625" style="128" customWidth="1"/>
    <col min="5" max="6" width="19" style="128" customWidth="1"/>
    <col min="7" max="16384" width="21.5" style="128"/>
  </cols>
  <sheetData>
    <row r="1" spans="1:8" ht="13.5" customHeight="1" x14ac:dyDescent="0.25">
      <c r="A1" s="151" t="s">
        <v>152</v>
      </c>
      <c r="B1" s="155"/>
      <c r="C1" s="162"/>
      <c r="D1" s="162"/>
      <c r="E1" s="155"/>
      <c r="F1" s="155"/>
      <c r="G1" s="127"/>
    </row>
    <row r="2" spans="1:8" ht="13.5" customHeight="1" x14ac:dyDescent="0.25">
      <c r="A2" s="151" t="s">
        <v>43</v>
      </c>
      <c r="B2" s="155"/>
      <c r="C2" s="162"/>
      <c r="D2" s="162"/>
      <c r="E2" s="162"/>
      <c r="F2" s="155"/>
      <c r="G2" s="127"/>
    </row>
    <row r="3" spans="1:8" ht="13.5" customHeight="1" x14ac:dyDescent="0.25">
      <c r="A3" s="151" t="s">
        <v>12</v>
      </c>
      <c r="B3" s="155"/>
      <c r="C3" s="162"/>
      <c r="D3" s="162"/>
      <c r="E3" s="162"/>
      <c r="F3" s="155"/>
      <c r="G3" s="127"/>
    </row>
    <row r="4" spans="1:8" ht="13.5" customHeight="1" x14ac:dyDescent="0.2">
      <c r="A4" s="127"/>
      <c r="B4" s="127"/>
      <c r="C4" s="127"/>
      <c r="D4" s="127"/>
      <c r="E4" s="127"/>
      <c r="F4" s="127"/>
      <c r="G4" s="127"/>
    </row>
    <row r="5" spans="1:8" ht="15.75" customHeight="1" x14ac:dyDescent="0.2">
      <c r="A5" s="6" t="s">
        <v>114</v>
      </c>
      <c r="B5" s="127"/>
      <c r="C5" s="127"/>
      <c r="D5" s="127"/>
      <c r="E5" s="127"/>
      <c r="F5" s="127"/>
      <c r="G5" s="127"/>
    </row>
    <row r="6" spans="1:8" ht="13.5" customHeight="1" x14ac:dyDescent="0.2">
      <c r="A6" s="127"/>
      <c r="B6" s="127"/>
      <c r="C6" s="127"/>
      <c r="D6" s="127"/>
      <c r="E6" s="127"/>
      <c r="F6" s="127"/>
      <c r="G6" s="127"/>
    </row>
    <row r="7" spans="1:8" ht="39" customHeight="1" x14ac:dyDescent="0.2">
      <c r="A7" s="160" t="s">
        <v>183</v>
      </c>
      <c r="B7" s="163"/>
      <c r="C7" s="163"/>
      <c r="D7" s="163"/>
      <c r="E7" s="163"/>
      <c r="F7" s="163"/>
      <c r="G7" s="127"/>
    </row>
    <row r="8" spans="1:8" ht="13.5" customHeight="1" x14ac:dyDescent="0.2">
      <c r="A8" s="155"/>
      <c r="B8" s="155"/>
      <c r="C8" s="155"/>
      <c r="D8" s="155"/>
      <c r="E8" s="155"/>
      <c r="F8" s="155"/>
      <c r="G8" s="127"/>
    </row>
    <row r="9" spans="1:8" ht="93" customHeight="1" x14ac:dyDescent="0.2">
      <c r="A9" s="160" t="s">
        <v>182</v>
      </c>
      <c r="B9" s="163"/>
      <c r="C9" s="163"/>
      <c r="D9" s="163"/>
      <c r="E9" s="163"/>
      <c r="F9" s="163"/>
      <c r="G9" s="127"/>
    </row>
    <row r="10" spans="1:8" ht="13.5" customHeight="1" x14ac:dyDescent="0.2">
      <c r="A10" s="127"/>
      <c r="B10" s="127"/>
      <c r="C10" s="127"/>
      <c r="D10" s="127"/>
      <c r="E10" s="127"/>
      <c r="F10" s="127"/>
      <c r="G10" s="127"/>
    </row>
    <row r="11" spans="1:8" ht="13.5" customHeight="1" x14ac:dyDescent="0.2">
      <c r="A11" s="127"/>
      <c r="B11" s="153" t="s">
        <v>153</v>
      </c>
      <c r="C11" s="153"/>
      <c r="D11" s="66"/>
      <c r="E11" s="153" t="s">
        <v>156</v>
      </c>
      <c r="F11" s="153"/>
      <c r="G11" s="127"/>
    </row>
    <row r="12" spans="1:8" ht="12.75" x14ac:dyDescent="0.2">
      <c r="A12" s="127"/>
      <c r="B12" s="95">
        <v>2020</v>
      </c>
      <c r="C12" s="64">
        <v>2019</v>
      </c>
      <c r="D12" s="140"/>
      <c r="E12" s="95">
        <v>2020</v>
      </c>
      <c r="F12" s="64">
        <v>2019</v>
      </c>
      <c r="G12" s="7"/>
    </row>
    <row r="13" spans="1:8" ht="13.5" customHeight="1" x14ac:dyDescent="0.2">
      <c r="A13" s="127"/>
      <c r="B13" s="154" t="s">
        <v>1</v>
      </c>
      <c r="C13" s="154"/>
      <c r="D13" s="101"/>
      <c r="E13" s="154" t="s">
        <v>1</v>
      </c>
      <c r="F13" s="154"/>
      <c r="G13" s="115"/>
    </row>
    <row r="14" spans="1:8" ht="13.5" customHeight="1" x14ac:dyDescent="0.2">
      <c r="A14" s="128" t="s">
        <v>133</v>
      </c>
      <c r="B14" s="38">
        <f>'Income Statement'!B42</f>
        <v>-49324</v>
      </c>
      <c r="C14" s="38">
        <f>'Income Statement'!C42</f>
        <v>62840</v>
      </c>
      <c r="D14" s="39"/>
      <c r="E14" s="38">
        <f>'Income Statement'!E42</f>
        <v>-74623</v>
      </c>
      <c r="F14" s="38">
        <f>'Income Statement'!F42</f>
        <v>135581</v>
      </c>
      <c r="G14" s="127"/>
      <c r="H14" s="134"/>
    </row>
    <row r="15" spans="1:8" ht="13.5" customHeight="1" x14ac:dyDescent="0.2">
      <c r="A15" s="3" t="s">
        <v>119</v>
      </c>
      <c r="B15" s="32">
        <f>'Income Statement'!B40</f>
        <v>1206</v>
      </c>
      <c r="C15" s="32">
        <f>'Income Statement'!C40</f>
        <v>91</v>
      </c>
      <c r="D15" s="36"/>
      <c r="E15" s="32">
        <f>'Income Statement'!E40</f>
        <v>-585</v>
      </c>
      <c r="F15" s="32">
        <f>'Income Statement'!F40</f>
        <v>161</v>
      </c>
      <c r="G15" s="127"/>
    </row>
    <row r="16" spans="1:8" ht="13.5" customHeight="1" x14ac:dyDescent="0.2">
      <c r="A16" s="3" t="s">
        <v>7</v>
      </c>
      <c r="B16" s="32">
        <f>-'Income Statement'!B30</f>
        <v>1730</v>
      </c>
      <c r="C16" s="32">
        <f>-'Income Statement'!C30</f>
        <v>2287</v>
      </c>
      <c r="D16" s="32"/>
      <c r="E16" s="32">
        <f>-'Income Statement'!E30</f>
        <v>3859</v>
      </c>
      <c r="F16" s="32">
        <f>-'Income Statement'!F30</f>
        <v>4576</v>
      </c>
      <c r="G16" s="127"/>
    </row>
    <row r="17" spans="1:8" ht="13.5" customHeight="1" x14ac:dyDescent="0.2">
      <c r="A17" s="3" t="s">
        <v>4</v>
      </c>
      <c r="B17" s="32">
        <f>'Income Statement'!B14</f>
        <v>30167</v>
      </c>
      <c r="C17" s="32">
        <f>'Income Statement'!C14</f>
        <v>26535</v>
      </c>
      <c r="D17" s="36"/>
      <c r="E17" s="32">
        <f>'Income Statement'!E14</f>
        <v>61475</v>
      </c>
      <c r="F17" s="32">
        <f>'Income Statement'!F14</f>
        <v>51873</v>
      </c>
      <c r="G17" s="127"/>
    </row>
    <row r="18" spans="1:8" ht="13.5" customHeight="1" x14ac:dyDescent="0.2">
      <c r="A18" s="3" t="s">
        <v>69</v>
      </c>
      <c r="B18" s="32">
        <f>'Income Statement'!B15</f>
        <v>4986</v>
      </c>
      <c r="C18" s="32">
        <f>'Income Statement'!C15</f>
        <v>5137</v>
      </c>
      <c r="D18" s="36"/>
      <c r="E18" s="32">
        <f>'Income Statement'!E15</f>
        <v>9992</v>
      </c>
      <c r="F18" s="32">
        <f>'Income Statement'!F15</f>
        <v>10274</v>
      </c>
      <c r="G18" s="31"/>
    </row>
    <row r="19" spans="1:8" ht="13.5" customHeight="1" x14ac:dyDescent="0.2">
      <c r="A19" s="3" t="s">
        <v>122</v>
      </c>
      <c r="B19" s="32">
        <f>'Income Statement'!B18</f>
        <v>7851</v>
      </c>
      <c r="C19" s="32">
        <f>'Income Statement'!C18</f>
        <v>3018</v>
      </c>
      <c r="D19" s="36"/>
      <c r="E19" s="32">
        <f>'Income Statement'!E18</f>
        <v>11515</v>
      </c>
      <c r="F19" s="32">
        <f>'Income Statement'!F18</f>
        <v>3018</v>
      </c>
      <c r="G19" s="127"/>
    </row>
    <row r="20" spans="1:8" ht="13.5" customHeight="1" x14ac:dyDescent="0.2">
      <c r="A20" s="3" t="s">
        <v>142</v>
      </c>
      <c r="B20" s="32">
        <f>'Income Statement'!B19</f>
        <v>7437</v>
      </c>
      <c r="C20" s="32">
        <f>'Income Statement'!C19</f>
        <v>0</v>
      </c>
      <c r="D20" s="36"/>
      <c r="E20" s="32">
        <f>'Income Statement'!E19</f>
        <v>13265</v>
      </c>
      <c r="F20" s="32">
        <f>'Income Statement'!F19</f>
        <v>0</v>
      </c>
      <c r="G20" s="127"/>
    </row>
    <row r="21" spans="1:8" ht="13.5" customHeight="1" x14ac:dyDescent="0.2">
      <c r="A21" s="3" t="s">
        <v>147</v>
      </c>
      <c r="B21" s="32">
        <f>'Income Statement'!B20</f>
        <v>-14518</v>
      </c>
      <c r="C21" s="32">
        <f>'Income Statement'!C20</f>
        <v>0</v>
      </c>
      <c r="D21" s="36"/>
      <c r="E21" s="32">
        <f>'Income Statement'!E20</f>
        <v>-23518</v>
      </c>
      <c r="F21" s="32">
        <f>'Income Statement'!F20</f>
        <v>0</v>
      </c>
      <c r="G21" s="127"/>
    </row>
    <row r="22" spans="1:8" ht="13.5" customHeight="1" x14ac:dyDescent="0.2">
      <c r="A22" s="119" t="s">
        <v>170</v>
      </c>
      <c r="B22" s="32">
        <f>'Income Statement'!B21</f>
        <v>-1369</v>
      </c>
      <c r="C22" s="32">
        <f>'Income Statement'!C21</f>
        <v>4304</v>
      </c>
      <c r="E22" s="17">
        <f>'Income Statement'!E21</f>
        <v>-1369</v>
      </c>
      <c r="F22" s="32">
        <f>'Income Statement'!F21</f>
        <v>4304</v>
      </c>
    </row>
    <row r="23" spans="1:8" ht="13.5" customHeight="1" x14ac:dyDescent="0.2">
      <c r="A23" s="3" t="s">
        <v>112</v>
      </c>
      <c r="B23" s="32">
        <f>-'Income Statement'!B35</f>
        <v>1102</v>
      </c>
      <c r="C23" s="32">
        <f>-'Income Statement'!C35</f>
        <v>1336</v>
      </c>
      <c r="D23" s="36"/>
      <c r="E23" s="32">
        <f>-'Income Statement'!E35</f>
        <v>2198</v>
      </c>
      <c r="F23" s="32">
        <f>-'Income Statement'!F35</f>
        <v>3102</v>
      </c>
      <c r="G23" s="127"/>
    </row>
    <row r="24" spans="1:8" ht="13.5" customHeight="1" x14ac:dyDescent="0.2">
      <c r="A24" s="3" t="s">
        <v>64</v>
      </c>
      <c r="B24" s="26">
        <f>-'Income Statement'!B36</f>
        <v>0</v>
      </c>
      <c r="C24" s="26">
        <f>-'Income Statement'!C36</f>
        <v>16</v>
      </c>
      <c r="D24" s="36"/>
      <c r="E24" s="26">
        <f>-'Income Statement'!E36</f>
        <v>-26</v>
      </c>
      <c r="F24" s="26">
        <f>-'Income Statement'!F36</f>
        <v>-71</v>
      </c>
      <c r="G24" s="127"/>
    </row>
    <row r="25" spans="1:8" ht="13.5" customHeight="1" x14ac:dyDescent="0.2">
      <c r="A25" s="3"/>
      <c r="B25" s="62"/>
      <c r="C25" s="33"/>
      <c r="D25" s="34"/>
      <c r="E25" s="62"/>
      <c r="F25" s="33"/>
      <c r="G25" s="127"/>
    </row>
    <row r="26" spans="1:8" ht="13.5" customHeight="1" x14ac:dyDescent="0.2">
      <c r="A26" s="128" t="s">
        <v>114</v>
      </c>
      <c r="B26" s="38">
        <f>SUM(B14:B25)</f>
        <v>-10732</v>
      </c>
      <c r="C26" s="38">
        <f>SUM(C14:C25)</f>
        <v>105564</v>
      </c>
      <c r="D26" s="39"/>
      <c r="E26" s="38">
        <f>SUM(E14:E25)</f>
        <v>2183</v>
      </c>
      <c r="F26" s="38">
        <f>SUM(F14:F25)</f>
        <v>212818</v>
      </c>
      <c r="G26" s="4"/>
    </row>
    <row r="27" spans="1:8" ht="13.5" customHeight="1" x14ac:dyDescent="0.2">
      <c r="A27" s="130" t="s">
        <v>128</v>
      </c>
      <c r="B27" s="23">
        <f>1327+1369</f>
        <v>2696</v>
      </c>
      <c r="C27" s="23">
        <f>5777</f>
        <v>5777</v>
      </c>
      <c r="D27" s="36"/>
      <c r="E27" s="36">
        <f>6426+1369</f>
        <v>7795</v>
      </c>
      <c r="F27" s="36">
        <v>4871</v>
      </c>
      <c r="G27" s="31"/>
    </row>
    <row r="28" spans="1:8" ht="13.5" customHeight="1" x14ac:dyDescent="0.2">
      <c r="A28" s="126" t="s">
        <v>6</v>
      </c>
      <c r="B28" s="24">
        <f>'Income Statement'!B17</f>
        <v>19738</v>
      </c>
      <c r="C28" s="24">
        <f>'Income Statement'!C17</f>
        <v>25209</v>
      </c>
      <c r="D28" s="24"/>
      <c r="E28" s="24">
        <f>'Income Statement'!E17</f>
        <v>42483</v>
      </c>
      <c r="F28" s="24">
        <f>'Income Statement'!F17</f>
        <v>49298</v>
      </c>
    </row>
    <row r="29" spans="1:8" ht="13.5" customHeight="1" x14ac:dyDescent="0.2">
      <c r="A29" s="126" t="s">
        <v>44</v>
      </c>
      <c r="B29" s="26">
        <f>-905-1</f>
        <v>-906</v>
      </c>
      <c r="C29" s="26">
        <v>-8996</v>
      </c>
      <c r="D29" s="24"/>
      <c r="E29" s="26">
        <f>-846-1</f>
        <v>-847</v>
      </c>
      <c r="F29" s="26">
        <f>-8996-12201</f>
        <v>-21197</v>
      </c>
      <c r="G29" s="135"/>
      <c r="H29" s="135"/>
    </row>
    <row r="31" spans="1:8" ht="13.5" customHeight="1" thickBot="1" x14ac:dyDescent="0.25">
      <c r="A31" s="128" t="s">
        <v>129</v>
      </c>
      <c r="B31" s="110">
        <f>SUM(B26:B29)</f>
        <v>10796</v>
      </c>
      <c r="C31" s="110">
        <f>SUM(C26:C29)</f>
        <v>127554</v>
      </c>
      <c r="E31" s="110">
        <f>SUM(E26:E29)</f>
        <v>51614</v>
      </c>
      <c r="F31" s="110">
        <f>SUM(F26:F29)</f>
        <v>245790</v>
      </c>
    </row>
    <row r="32" spans="1:8" ht="13.5" customHeight="1" thickTop="1" x14ac:dyDescent="0.2"/>
    <row r="33" spans="1:6" ht="13.5" customHeight="1" x14ac:dyDescent="0.2">
      <c r="A33" s="126" t="s">
        <v>130</v>
      </c>
      <c r="B33" s="126"/>
      <c r="C33" s="126"/>
      <c r="D33" s="126"/>
      <c r="E33" s="126"/>
      <c r="F33" s="126"/>
    </row>
    <row r="34" spans="1:6" ht="13.5" customHeight="1" x14ac:dyDescent="0.2">
      <c r="A34" s="15" t="s">
        <v>73</v>
      </c>
      <c r="B34" s="22">
        <v>-5362</v>
      </c>
      <c r="C34" s="22">
        <v>14696</v>
      </c>
      <c r="D34" s="22"/>
      <c r="E34" s="22">
        <v>-5944</v>
      </c>
      <c r="F34" s="22">
        <v>35279</v>
      </c>
    </row>
    <row r="35" spans="1:6" ht="13.5" customHeight="1" x14ac:dyDescent="0.2">
      <c r="A35" s="15" t="s">
        <v>76</v>
      </c>
      <c r="B35" s="24">
        <f>35428-14518</f>
        <v>20910</v>
      </c>
      <c r="C35" s="24">
        <v>101936</v>
      </c>
      <c r="D35" s="24"/>
      <c r="E35" s="24">
        <f>87148-23518</f>
        <v>63630</v>
      </c>
      <c r="F35" s="24">
        <v>193470</v>
      </c>
    </row>
    <row r="36" spans="1:6" ht="13.5" customHeight="1" x14ac:dyDescent="0.2">
      <c r="A36" s="15" t="s">
        <v>77</v>
      </c>
      <c r="B36" s="26">
        <f>-4752</f>
        <v>-4752</v>
      </c>
      <c r="C36" s="26">
        <v>10922</v>
      </c>
      <c r="D36" s="24"/>
      <c r="E36" s="26">
        <f>-6072</f>
        <v>-6072</v>
      </c>
      <c r="F36" s="26">
        <v>17041</v>
      </c>
    </row>
    <row r="37" spans="1:6" ht="13.5" customHeight="1" x14ac:dyDescent="0.2">
      <c r="A37" s="126"/>
      <c r="B37" s="24"/>
      <c r="C37" s="24"/>
      <c r="D37" s="24"/>
      <c r="E37" s="24"/>
      <c r="F37" s="24"/>
    </row>
    <row r="38" spans="1:6" ht="13.5" customHeight="1" thickBot="1" x14ac:dyDescent="0.25">
      <c r="A38" s="126" t="s">
        <v>131</v>
      </c>
      <c r="B38" s="104">
        <f>SUM(B34:B37)</f>
        <v>10796</v>
      </c>
      <c r="C38" s="104">
        <f>SUM(C34:C37)</f>
        <v>127554</v>
      </c>
      <c r="D38" s="115"/>
      <c r="E38" s="104">
        <f>SUM(E34:E37)</f>
        <v>51614</v>
      </c>
      <c r="F38" s="104">
        <f>SUM(F34:F37)</f>
        <v>245790</v>
      </c>
    </row>
    <row r="39" spans="1:6" ht="13.5" customHeight="1" thickTop="1" x14ac:dyDescent="0.2"/>
    <row r="40" spans="1:6" ht="13.5" customHeight="1" x14ac:dyDescent="0.2">
      <c r="B40" s="134"/>
      <c r="C40" s="134"/>
      <c r="E40" s="134"/>
      <c r="F40" s="134"/>
    </row>
    <row r="41" spans="1:6" ht="13.5" customHeight="1" x14ac:dyDescent="0.2">
      <c r="B41" s="134"/>
      <c r="E41" s="134"/>
    </row>
    <row r="42" spans="1:6" ht="13.5" customHeight="1" x14ac:dyDescent="0.2">
      <c r="E42" s="134"/>
      <c r="F42" s="134"/>
    </row>
  </sheetData>
  <mergeCells count="10">
    <mergeCell ref="B11:C11"/>
    <mergeCell ref="E11:F11"/>
    <mergeCell ref="B13:C13"/>
    <mergeCell ref="E13:F13"/>
    <mergeCell ref="A1:F1"/>
    <mergeCell ref="A2:F2"/>
    <mergeCell ref="A3:F3"/>
    <mergeCell ref="A7:F7"/>
    <mergeCell ref="A8:F8"/>
    <mergeCell ref="A9:F9"/>
  </mergeCells>
  <pageMargins left="0.7" right="0.7" top="0.75" bottom="0.75" header="0.3" footer="0.3"/>
  <pageSetup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Income Statement</vt:lpstr>
      <vt:lpstr>Balance Sheet</vt:lpstr>
      <vt:lpstr>Statement of Cash Flows</vt:lpstr>
      <vt:lpstr>Debt Schedule</vt:lpstr>
      <vt:lpstr>Operational Performance</vt:lpstr>
      <vt:lpstr>NON-GAAP Sales</vt:lpstr>
      <vt:lpstr>NON-GAAP COGS</vt:lpstr>
      <vt:lpstr>Reconciliation page</vt:lpstr>
      <vt:lpstr>'NON-GAAP COGS'!OLE_LINK1</vt:lpstr>
      <vt:lpstr>'NON-GAAP Sales'!OLE_LINK1</vt:lpstr>
      <vt:lpstr>'Balance Sheet'!Print_Area</vt:lpstr>
      <vt:lpstr>'Income Statement'!Print_Area</vt:lpstr>
      <vt:lpstr>'Reconciliation page'!Print_Area</vt:lpstr>
      <vt:lpstr>'Statement of Cash Flows'!Print_Area</vt:lpstr>
      <vt:lpstr>'Reconciliation page'!Print_Titles</vt:lpstr>
    </vt:vector>
  </TitlesOfParts>
  <Company>Arch Coal,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Hillebrand, Jackie</dc:creator>
  <cp:lastModifiedBy>Slone, Deck</cp:lastModifiedBy>
  <cp:lastPrinted>2020-07-27T21:45:02Z</cp:lastPrinted>
  <dcterms:created xsi:type="dcterms:W3CDTF">2015-01-20T16:57:13Z</dcterms:created>
  <dcterms:modified xsi:type="dcterms:W3CDTF">2020-07-27T22:08:13Z</dcterms:modified>
</cp:coreProperties>
</file>