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ExternalAffairs\LLB\ER-Conference Call\2018\Q4-2018\"/>
    </mc:Choice>
  </mc:AlternateContent>
  <bookViews>
    <workbookView xWindow="240" yWindow="360" windowWidth="21075" windowHeight="9540"/>
  </bookViews>
  <sheets>
    <sheet name="Income Statement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NON-GAAP Sales" sheetId="9" r:id="rId6"/>
    <sheet name="NON-GAAP COGS" sheetId="10" r:id="rId7"/>
    <sheet name="Reconciliation page" sheetId="3" r:id="rId8"/>
  </sheets>
  <definedNames>
    <definedName name="OLE_LINK1" localSheetId="6">'NON-GAAP COGS'!$A$7</definedName>
    <definedName name="OLE_LINK1" localSheetId="5">'NON-GAAP Sales'!$A$10</definedName>
    <definedName name="_xlnm.Print_Area" localSheetId="1">'Balance Sheet'!$A$1:$C$52</definedName>
    <definedName name="_xlnm.Print_Area" localSheetId="0">'Income Statement'!$A$1:$F$54</definedName>
    <definedName name="_xlnm.Print_Area" localSheetId="7">'Reconciliation page'!$A$5:$F$35</definedName>
    <definedName name="_xlnm.Print_Area" localSheetId="2">'Statement of Cash Flows'!$A$1:$C$60</definedName>
    <definedName name="_xlnm.Print_Titles" localSheetId="7">'Reconciliation page'!$1:$4</definedName>
  </definedNames>
  <calcPr calcId="162913"/>
</workbook>
</file>

<file path=xl/calcChain.xml><?xml version="1.0" encoding="utf-8"?>
<calcChain xmlns="http://schemas.openxmlformats.org/spreadsheetml/2006/main">
  <c r="B27" i="4" l="1"/>
  <c r="B42" i="2" l="1"/>
  <c r="E13" i="1"/>
  <c r="B26" i="4" l="1"/>
  <c r="B33" i="2"/>
  <c r="B32" i="2"/>
  <c r="B26" i="2"/>
  <c r="B20" i="8" l="1"/>
  <c r="C20" i="1" l="1"/>
  <c r="C18" i="1"/>
  <c r="C13" i="1"/>
  <c r="C27" i="4" l="1"/>
  <c r="B52" i="4" l="1"/>
  <c r="B48" i="4"/>
  <c r="C10" i="5"/>
  <c r="B19" i="2" l="1"/>
  <c r="E20" i="1"/>
  <c r="I37" i="1"/>
  <c r="I39" i="1"/>
  <c r="I40" i="1"/>
  <c r="B30" i="10" l="1"/>
  <c r="B33" i="10"/>
  <c r="C33" i="10"/>
  <c r="D33" i="10"/>
  <c r="E33" i="10"/>
  <c r="B32" i="9"/>
  <c r="G26" i="8"/>
  <c r="G25" i="8"/>
  <c r="G19" i="8"/>
  <c r="G18" i="8"/>
  <c r="G12" i="8"/>
  <c r="G11" i="8"/>
  <c r="E26" i="8"/>
  <c r="E25" i="8"/>
  <c r="E19" i="8"/>
  <c r="E18" i="8"/>
  <c r="E12" i="8"/>
  <c r="E11" i="8"/>
  <c r="F20" i="1" l="1"/>
  <c r="F18" i="1"/>
  <c r="F13" i="1"/>
  <c r="C26" i="8" l="1"/>
  <c r="C25" i="8"/>
  <c r="C19" i="8"/>
  <c r="C18" i="8"/>
  <c r="C12" i="8"/>
  <c r="C11" i="8"/>
  <c r="B37" i="10" l="1"/>
  <c r="C37" i="10"/>
  <c r="D37" i="10"/>
  <c r="F29" i="3"/>
  <c r="E29" i="3"/>
  <c r="C29" i="3"/>
  <c r="B29" i="3"/>
  <c r="I14" i="1" l="1"/>
  <c r="I15" i="1"/>
  <c r="I16" i="1"/>
  <c r="I17" i="1"/>
  <c r="I18" i="1"/>
  <c r="I19" i="1"/>
  <c r="I22" i="1"/>
  <c r="I24" i="1"/>
  <c r="I25" i="1"/>
  <c r="I26" i="1"/>
  <c r="I27" i="1"/>
  <c r="I29" i="1"/>
  <c r="I31" i="1"/>
  <c r="I32" i="1"/>
  <c r="I33" i="1"/>
  <c r="I34" i="1"/>
  <c r="I35" i="1"/>
  <c r="I42" i="1"/>
  <c r="I43" i="1"/>
  <c r="I46" i="1"/>
  <c r="I47" i="1"/>
  <c r="I48" i="1"/>
  <c r="I49" i="1"/>
  <c r="I50" i="1"/>
  <c r="I51" i="1"/>
  <c r="I52" i="1"/>
  <c r="I10" i="1"/>
  <c r="I20" i="1"/>
  <c r="I13" i="1"/>
  <c r="E49" i="9" l="1"/>
  <c r="D49" i="9"/>
  <c r="C49" i="9"/>
  <c r="B49" i="9"/>
  <c r="E37" i="9"/>
  <c r="D37" i="9"/>
  <c r="C37" i="9"/>
  <c r="B37" i="9"/>
  <c r="C25" i="9"/>
  <c r="D25" i="9"/>
  <c r="E25" i="9"/>
  <c r="B25" i="9"/>
  <c r="C46" i="10" l="1"/>
  <c r="D46" i="10"/>
  <c r="E46" i="10"/>
  <c r="B46" i="10"/>
  <c r="E20" i="10" l="1"/>
  <c r="C20" i="10"/>
  <c r="D20" i="10"/>
  <c r="B20" i="10"/>
  <c r="C50" i="10"/>
  <c r="D50" i="10"/>
  <c r="B50" i="10"/>
  <c r="C24" i="10"/>
  <c r="D24" i="10"/>
  <c r="B24" i="10"/>
  <c r="F48" i="4" l="1"/>
  <c r="F47" i="4"/>
  <c r="F46" i="4"/>
  <c r="F45" i="4"/>
  <c r="F44" i="4"/>
  <c r="F43" i="4"/>
  <c r="F42" i="4"/>
  <c r="F41" i="4"/>
  <c r="F40" i="4"/>
  <c r="F36" i="4"/>
  <c r="F35" i="4"/>
  <c r="F34" i="4"/>
  <c r="F33" i="4"/>
  <c r="F32" i="4"/>
  <c r="F31" i="4"/>
  <c r="F27" i="4"/>
  <c r="F26" i="4"/>
  <c r="F25" i="4"/>
  <c r="F24" i="4"/>
  <c r="F23" i="4"/>
  <c r="F15" i="4"/>
  <c r="F16" i="4"/>
  <c r="F17" i="4"/>
  <c r="F18" i="4"/>
  <c r="F19" i="4"/>
  <c r="F20" i="4"/>
  <c r="F60" i="4"/>
  <c r="E60" i="4"/>
  <c r="E52" i="4"/>
  <c r="E49" i="4"/>
  <c r="E37" i="4"/>
  <c r="E28" i="4"/>
  <c r="F49" i="4" l="1"/>
  <c r="F37" i="4"/>
  <c r="E51" i="4"/>
  <c r="E54" i="4" s="1"/>
  <c r="B14" i="4"/>
  <c r="F14" i="4" s="1"/>
  <c r="B13" i="4"/>
  <c r="F13" i="4" s="1"/>
  <c r="B12" i="4"/>
  <c r="F12" i="4" s="1"/>
  <c r="C14" i="4" l="1"/>
  <c r="C13" i="4"/>
  <c r="C12" i="4"/>
  <c r="F32" i="3" l="1"/>
  <c r="E32" i="3"/>
  <c r="F31" i="3"/>
  <c r="E31" i="3"/>
  <c r="F30" i="3"/>
  <c r="E30" i="3"/>
  <c r="F28" i="3"/>
  <c r="E28" i="3"/>
  <c r="F27" i="3"/>
  <c r="E27" i="3"/>
  <c r="F26" i="3"/>
  <c r="E26" i="3"/>
  <c r="F24" i="3"/>
  <c r="E24" i="3"/>
  <c r="E36" i="1" l="1"/>
  <c r="I36" i="1" s="1"/>
  <c r="F36" i="1"/>
  <c r="F28" i="1"/>
  <c r="F25" i="3" s="1"/>
  <c r="E28" i="1"/>
  <c r="I28" i="1" s="1"/>
  <c r="F21" i="1"/>
  <c r="F23" i="1" s="1"/>
  <c r="E21" i="1"/>
  <c r="I21" i="1" s="1"/>
  <c r="E25" i="3" l="1"/>
  <c r="E23" i="1"/>
  <c r="I23" i="1" s="1"/>
  <c r="F30" i="1"/>
  <c r="F38" i="1" s="1"/>
  <c r="F41" i="1" s="1"/>
  <c r="C10" i="4" s="1"/>
  <c r="E30" i="1" l="1"/>
  <c r="I30" i="1" s="1"/>
  <c r="E38" i="1"/>
  <c r="I38" i="1" s="1"/>
  <c r="F45" i="1"/>
  <c r="F23" i="3"/>
  <c r="F44" i="1"/>
  <c r="E41" i="1" l="1"/>
  <c r="I41" i="1" s="1"/>
  <c r="F34" i="3"/>
  <c r="F53" i="1" s="1"/>
  <c r="E45" i="1" l="1"/>
  <c r="E23" i="3"/>
  <c r="B10" i="4"/>
  <c r="F10" i="4" s="1"/>
  <c r="F28" i="4" s="1"/>
  <c r="F51" i="4" s="1"/>
  <c r="F54" i="4" s="1"/>
  <c r="F56" i="2"/>
  <c r="E44" i="1"/>
  <c r="I44" i="1" s="1"/>
  <c r="I45" i="1" l="1"/>
  <c r="E34" i="3"/>
  <c r="E53" i="1" s="1"/>
  <c r="I53" i="1" s="1"/>
  <c r="B30" i="3"/>
  <c r="E49" i="10" l="1"/>
  <c r="D49" i="10"/>
  <c r="D51" i="10" s="1"/>
  <c r="C49" i="10"/>
  <c r="C51" i="10" s="1"/>
  <c r="B49" i="10"/>
  <c r="B51" i="10" s="1"/>
  <c r="F48" i="10"/>
  <c r="F47" i="10"/>
  <c r="F46" i="10"/>
  <c r="F45" i="10"/>
  <c r="F43" i="10"/>
  <c r="E23" i="10"/>
  <c r="D23" i="10"/>
  <c r="D25" i="10" s="1"/>
  <c r="C23" i="10"/>
  <c r="C25" i="10" s="1"/>
  <c r="B23" i="10"/>
  <c r="B25" i="10" s="1"/>
  <c r="F22" i="10"/>
  <c r="F21" i="10"/>
  <c r="F20" i="10"/>
  <c r="F19" i="10"/>
  <c r="F17" i="10"/>
  <c r="C36" i="10"/>
  <c r="C38" i="10" s="1"/>
  <c r="D36" i="10"/>
  <c r="D38" i="10" s="1"/>
  <c r="E36" i="10"/>
  <c r="B36" i="10"/>
  <c r="B38" i="10" s="1"/>
  <c r="F33" i="10"/>
  <c r="F34" i="10"/>
  <c r="F35" i="10"/>
  <c r="F32" i="10"/>
  <c r="F30" i="10"/>
  <c r="F48" i="9"/>
  <c r="F47" i="9"/>
  <c r="F46" i="9"/>
  <c r="D51" i="9"/>
  <c r="C51" i="9"/>
  <c r="B51" i="9"/>
  <c r="F44" i="9"/>
  <c r="F24" i="9"/>
  <c r="F23" i="9"/>
  <c r="F22" i="9"/>
  <c r="D27" i="9"/>
  <c r="C27" i="9"/>
  <c r="B27" i="9"/>
  <c r="F20" i="9"/>
  <c r="F36" i="9"/>
  <c r="F35" i="9"/>
  <c r="F34" i="9"/>
  <c r="C39" i="9"/>
  <c r="D39" i="9"/>
  <c r="B39" i="9"/>
  <c r="F32" i="9"/>
  <c r="F49" i="9" l="1"/>
  <c r="F37" i="9"/>
  <c r="F25" i="9"/>
  <c r="F49" i="10"/>
  <c r="F23" i="10"/>
  <c r="F36" i="10"/>
  <c r="A41" i="10" l="1"/>
  <c r="A28" i="10"/>
  <c r="A15" i="10"/>
  <c r="B57" i="4" l="1"/>
  <c r="C30" i="3" l="1"/>
  <c r="B60" i="4"/>
  <c r="C60" i="4"/>
  <c r="C52" i="4"/>
  <c r="B36" i="1"/>
  <c r="C36" i="1"/>
  <c r="F27" i="8" l="1"/>
  <c r="F20" i="8"/>
  <c r="F13" i="8"/>
  <c r="D27" i="8"/>
  <c r="D20" i="8"/>
  <c r="D13" i="8"/>
  <c r="F29" i="8" l="1"/>
  <c r="F34" i="8" s="1"/>
  <c r="E20" i="8"/>
  <c r="E27" i="8"/>
  <c r="G27" i="8"/>
  <c r="D29" i="8"/>
  <c r="D34" i="8" s="1"/>
  <c r="G13" i="8"/>
  <c r="G20" i="8"/>
  <c r="E13" i="8"/>
  <c r="C32" i="3" l="1"/>
  <c r="B32" i="3"/>
  <c r="C31" i="3"/>
  <c r="B31" i="3"/>
  <c r="C28" i="3"/>
  <c r="B28" i="3"/>
  <c r="C27" i="3"/>
  <c r="B27" i="3"/>
  <c r="C26" i="3"/>
  <c r="B26" i="3"/>
  <c r="C24" i="3"/>
  <c r="B24" i="3"/>
  <c r="B27" i="8"/>
  <c r="B13" i="8"/>
  <c r="D20" i="5"/>
  <c r="C20" i="5"/>
  <c r="D19" i="5"/>
  <c r="C19" i="5"/>
  <c r="D12" i="5"/>
  <c r="D17" i="5" s="1"/>
  <c r="C12" i="5"/>
  <c r="C14" i="5" s="1"/>
  <c r="C49" i="4"/>
  <c r="C37" i="4"/>
  <c r="F57" i="2"/>
  <c r="F55" i="2"/>
  <c r="C51" i="2"/>
  <c r="B51" i="2"/>
  <c r="C35" i="2"/>
  <c r="C43" i="2" s="1"/>
  <c r="B35" i="2"/>
  <c r="B43" i="2" s="1"/>
  <c r="C27" i="2"/>
  <c r="B27" i="2"/>
  <c r="C20" i="2"/>
  <c r="B20" i="2"/>
  <c r="C28" i="1"/>
  <c r="C25" i="3" s="1"/>
  <c r="B28" i="1"/>
  <c r="B25" i="3" s="1"/>
  <c r="C21" i="1"/>
  <c r="C23" i="1" s="1"/>
  <c r="B21" i="1"/>
  <c r="B23" i="1" s="1"/>
  <c r="D21" i="5" l="1"/>
  <c r="C28" i="2"/>
  <c r="C20" i="8"/>
  <c r="B30" i="1"/>
  <c r="B38" i="1" s="1"/>
  <c r="B41" i="1" s="1"/>
  <c r="C30" i="1"/>
  <c r="C38" i="1" s="1"/>
  <c r="C41" i="1" s="1"/>
  <c r="C21" i="5"/>
  <c r="D14" i="5"/>
  <c r="D22" i="5"/>
  <c r="B49" i="4"/>
  <c r="B37" i="4"/>
  <c r="B52" i="2"/>
  <c r="B28" i="2"/>
  <c r="C52" i="2"/>
  <c r="C13" i="8"/>
  <c r="B29" i="8"/>
  <c r="B34" i="8" s="1"/>
  <c r="C27" i="8"/>
  <c r="C17" i="5"/>
  <c r="C22" i="5" s="1"/>
  <c r="B44" i="1" l="1"/>
  <c r="B45" i="1"/>
  <c r="F59" i="2"/>
  <c r="B23" i="3"/>
  <c r="B28" i="4"/>
  <c r="C45" i="1"/>
  <c r="C28" i="4"/>
  <c r="C23" i="3"/>
  <c r="C44" i="1"/>
  <c r="C51" i="4" l="1"/>
  <c r="C54" i="4" s="1"/>
  <c r="B34" i="3"/>
  <c r="B53" i="1" s="1"/>
  <c r="C34" i="3"/>
  <c r="C53" i="1" s="1"/>
  <c r="B51" i="4"/>
  <c r="B54" i="4" s="1"/>
</calcChain>
</file>

<file path=xl/sharedStrings.xml><?xml version="1.0" encoding="utf-8"?>
<sst xmlns="http://schemas.openxmlformats.org/spreadsheetml/2006/main" count="332" uniqueCount="198">
  <si>
    <t>Arch Coal, Inc. and Subsidiaries</t>
  </si>
  <si>
    <t>(In thousands, except per share data)</t>
  </si>
  <si>
    <t>(Unaudited)</t>
  </si>
  <si>
    <t>Revenues</t>
  </si>
  <si>
    <t>Costs, expenses and other operating</t>
  </si>
  <si>
    <t>Cost of sales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</si>
  <si>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</si>
  <si>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</si>
  <si>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</si>
  <si>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</si>
  <si>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</si>
  <si>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</si>
  <si>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</si>
  <si>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</si>
  <si>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</si>
  <si>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</si>
  <si>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</si>
  <si>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</si>
  <si>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</si>
  <si>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</si>
  <si>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</si>
  <si>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</si>
  <si>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</si>
  <si>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</si>
  <si>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</si>
  <si>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</si>
  <si>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</si>
  <si>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</si>
  <si>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</si>
  <si>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</si>
  <si>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</si>
  <si>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</si>
  <si>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</si>
  <si>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</si>
  <si>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</si>
  <si>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</si>
  <si>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</si>
  <si>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</si>
  <si>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</si>
  <si>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</si>
  <si>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</si>
  <si>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</si>
  <si>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</si>
  <si>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</si>
  <si>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</si>
  <si>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</si>
  <si>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</si>
  <si>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</si>
  <si>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</si>
  <si>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</si>
  <si>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</si>
  <si>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</si>
  <si>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</si>
  <si>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</si>
  <si>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</si>
  <si>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</si>
  <si>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</si>
  <si>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</si>
  <si>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</si>
  <si>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</si>
  <si>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</si>
  <si>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Gains on disposals and divestitures</t>
  </si>
  <si>
    <t>Employee stock-based compensation expense</t>
  </si>
  <si>
    <t>Prepaid royalties expensed</t>
  </si>
  <si>
    <t>Operating activities</t>
  </si>
  <si>
    <t>Condensed Consolidated Statements of Cash Flows</t>
  </si>
  <si>
    <t xml:space="preserve">December 31, 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</si>
  <si>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</si>
  <si>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</si>
  <si>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</si>
  <si>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</si>
  <si>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</si>
  <si>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</si>
  <si>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Net loss resulting from early retirement of debt and debt restructuring</t>
  </si>
  <si>
    <t>Reorganization items, net</t>
  </si>
  <si>
    <t>Debt issuance costs</t>
  </si>
  <si>
    <t>Total debt (excluding debt issuance costs)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</si>
  <si>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</si>
  <si>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</si>
  <si>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</si>
  <si>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</si>
  <si>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>Basic weighted average shares outstanding</t>
  </si>
  <si>
    <t>Amortization of sales contracts, net</t>
  </si>
  <si>
    <t xml:space="preserve">considered in isolation, nor as an alternative to net income, income from operations, cash flows from operations or as a measure of our profitability, 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</si>
  <si>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</si>
  <si>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</si>
  <si>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</si>
  <si>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</si>
  <si>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</si>
  <si>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</si>
  <si>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</si>
  <si>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</si>
  <si>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</si>
  <si>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</si>
  <si>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 xml:space="preserve">Stockholders' equity </t>
  </si>
  <si>
    <t xml:space="preserve">Liabilities and Stockholders' Equity </t>
  </si>
  <si>
    <t>Income taxes, net</t>
  </si>
  <si>
    <t>Payments to extinguish term loan due 2021</t>
  </si>
  <si>
    <t>Proceeds from issuance of term loan due 2024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</si>
  <si>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</si>
  <si>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</si>
  <si>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</si>
  <si>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performance of its segments and allocate resources to the segments.  Furthermore, analogous measures are used by industry analysts and investors </t>
  </si>
  <si>
    <t>Retained earnings</t>
  </si>
  <si>
    <t>Treasury stock, at cost</t>
  </si>
  <si>
    <t>Purchases of treasury stock</t>
  </si>
  <si>
    <t>Weighted average shares outstanding</t>
  </si>
  <si>
    <t>Dividends declared per common share</t>
  </si>
  <si>
    <t>Beg RE</t>
  </si>
  <si>
    <t>CY Net Income</t>
  </si>
  <si>
    <t xml:space="preserve">Dividends </t>
  </si>
  <si>
    <t>Dividends accrued (RSU's)</t>
  </si>
  <si>
    <t>indicative of the Company's core operating performance.</t>
  </si>
  <si>
    <t xml:space="preserve">Net income </t>
  </si>
  <si>
    <t>Net income per common share</t>
  </si>
  <si>
    <t xml:space="preserve">Basic EPS </t>
  </si>
  <si>
    <t xml:space="preserve">Diluted EPS </t>
  </si>
  <si>
    <t>Income before income taxes</t>
  </si>
  <si>
    <t>Reconciliation of NON-GAAP Measures</t>
  </si>
  <si>
    <t>Idle and Other</t>
  </si>
  <si>
    <t>Consolidated</t>
  </si>
  <si>
    <t>Less:  Adjustments to reconcile to Non-GAAP Segment coal sales revenue</t>
  </si>
  <si>
    <t>Coal risk management derivative settlements classified in "other income"</t>
  </si>
  <si>
    <t>Coal sales revenues from idled or otherwise disposed operations not included in segments</t>
  </si>
  <si>
    <t>Transportation costs</t>
  </si>
  <si>
    <t>Non-GAAP Segment coal sales revenues</t>
  </si>
  <si>
    <t>Tons sold</t>
  </si>
  <si>
    <t>Coal sales per ton sold</t>
  </si>
  <si>
    <t xml:space="preserve">Less:  Adjustments to reconcile to Non-GAAP Segment cash cost of coal sales </t>
  </si>
  <si>
    <t>Diesel fuel risk management derivative settlements classified in "other income"</t>
  </si>
  <si>
    <t>Cost of coal sales from idled or otherwise disposed operations not included in segments</t>
  </si>
  <si>
    <t>Other (operating overhead, certain actuarial, etc.)</t>
  </si>
  <si>
    <t>Non-GAAP Segment cash cost of coal sales</t>
  </si>
  <si>
    <t>Cash cost per ton sold</t>
  </si>
  <si>
    <t>The following reconciles these items to the most directly comparable GAAP measure.</t>
  </si>
  <si>
    <t xml:space="preserve">Non-GAAP Segment coal sales per ton sold   </t>
  </si>
  <si>
    <t xml:space="preserve">Non-GAAP Segment coal sales per ton sold is calculated as segment coal sales revenues divided by segment tons sold. Segment coal sales revenues are adjusted for </t>
  </si>
  <si>
    <t>Non-GAAP Segment cash cost per ton sold</t>
  </si>
  <si>
    <t xml:space="preserve">Non-GAAP Segment cash cost per ton sold is calculated as segment cash cost of coal sales divided by segment tons sold. Segment cash cost of coal sales is </t>
  </si>
  <si>
    <t xml:space="preserve">adjusted for transportation costs, and may be adjusted for other items that, due to generally accepted accounting principles, are classified in “other income” on the </t>
  </si>
  <si>
    <t>Restricted cash</t>
  </si>
  <si>
    <t>Income from operations</t>
  </si>
  <si>
    <t>Income before nonoperating expenses</t>
  </si>
  <si>
    <t>Cash provided by operating activities</t>
  </si>
  <si>
    <t>Payments on term loan due 2024</t>
  </si>
  <si>
    <t>Cash used in financing activities</t>
  </si>
  <si>
    <t>Nonoperating expenses</t>
  </si>
  <si>
    <t>Condensed Consolidated Income Statements</t>
  </si>
  <si>
    <t>Non-service related pension and postretirement benefit costs</t>
  </si>
  <si>
    <t>Cash and cash equivalents, including restricted cash, beginning of period</t>
  </si>
  <si>
    <t>Cash and cash equivalents, including restricted cash, end of period</t>
  </si>
  <si>
    <t>Adjusted EBITDA (A) (Unaudited)</t>
  </si>
  <si>
    <t>Adjusted EBITDA</t>
  </si>
  <si>
    <t xml:space="preserve">Adjusted EBITDA is defined as net income attributable to the Company before the effect of net interest expense, income taxes, depreciation, </t>
  </si>
  <si>
    <t>depletion and amortization, accretion on asset retirement obligations, amortization of sales contracts and nonoperating expenses.</t>
  </si>
  <si>
    <t>Adjusted EBITDA may also be adjusted for items that may not reflect the trend of future results by excluding transactions that are not</t>
  </si>
  <si>
    <t>Adjusted EBITDA is not a measure of financial performance in accordance with generally accepted accounting principles, and items excluded</t>
  </si>
  <si>
    <t xml:space="preserve">from Adjusted EBITDA are significant in understanding and assessing our financial condition. Therefore, Adjusted EBITDA should not be </t>
  </si>
  <si>
    <t xml:space="preserve">liquidity or performance under generally accepted accounting principles.  The Company uses adjusted EBITDA to measure the operating </t>
  </si>
  <si>
    <t>to evaluate our operating performance. Investors should be aware that our presentation of Adjusted EBITDA may not be comparable to similarly titled</t>
  </si>
  <si>
    <t>measures used by other companies. The table below shows how we calculate Adjusted EBITDA.</t>
  </si>
  <si>
    <t>Adjustments to reconcile to cash provided by operating activities:</t>
  </si>
  <si>
    <t>Proceeds from disposals and divestitures</t>
  </si>
  <si>
    <t>Cash used in investing activities</t>
  </si>
  <si>
    <t>Decrease in cash and cash equivalents, including restricted cash</t>
  </si>
  <si>
    <t xml:space="preserve">Three Months </t>
  </si>
  <si>
    <t>Ended June 30, 2018</t>
  </si>
  <si>
    <t>Three Months  Ended           September 30, 2018</t>
  </si>
  <si>
    <t>Quarter ended September 30, 2018</t>
  </si>
  <si>
    <t>Gain on sale of Lone Mountain Processing, Inc.</t>
  </si>
  <si>
    <t xml:space="preserve">Six Months </t>
  </si>
  <si>
    <t>Ended September 30, 2018</t>
  </si>
  <si>
    <t>Three Months Ended December 31,</t>
  </si>
  <si>
    <t xml:space="preserve">Twelve Months Ended December 31, </t>
  </si>
  <si>
    <t>Twelve Months Ended December 31,</t>
  </si>
  <si>
    <t>Three Months  Ended           December 31, 2017</t>
  </si>
  <si>
    <t>Three Months  Ended           December 31, 2018</t>
  </si>
  <si>
    <t>Quarter ended December 31, 2018</t>
  </si>
  <si>
    <t>Quarter ended December 31, 2017</t>
  </si>
  <si>
    <t>9/30/2018 YTD</t>
  </si>
  <si>
    <t>Other operating (income) expense, net</t>
  </si>
  <si>
    <t>Term loan due 2024 ($294.8 million face value)</t>
  </si>
  <si>
    <t>Benefit from income taxes</t>
  </si>
  <si>
    <t>(A) Adjusted EBITDA is defined and reconciled under "Reconciliation of Non-GAAP Measures" later in this release.</t>
  </si>
  <si>
    <t>Short-term investments</t>
  </si>
  <si>
    <t xml:space="preserve">transportation costs, and may be adjusted for other items that, due to generally accepted accounting principles, are classified in “other income” on the consolidated </t>
  </si>
  <si>
    <t xml:space="preserve">generally accepted accounting principles. We believe segment coal sales per ton sold provides useful information to investors as it better reflects our revenue for the </t>
  </si>
  <si>
    <t xml:space="preserve">quality of coal sold and our operating results by including all income from coal sales. The adjustments made to arrive at these measures are significant in understanding </t>
  </si>
  <si>
    <t xml:space="preserve">and assessing our financial condition. Therefore, segment coal sales revenues should not be considered in isolation, nor as an alternative to coal sales revenues under </t>
  </si>
  <si>
    <t>generally accepted accounting principles.</t>
  </si>
  <si>
    <t>GAAP Revenues in the consolidated income statements</t>
  </si>
  <si>
    <t xml:space="preserve">GAAP Revenues in the consolidated income statements </t>
  </si>
  <si>
    <t xml:space="preserve">income statements, but relate to price protection on the sale of coal. Segment coal sales per ton sold is not a measure of financial performance in accordance with </t>
  </si>
  <si>
    <t xml:space="preserve">consolidated income statements, but relate directly to the costs incurred to produce coal. Segment cash cost per ton sold is not a measure of financial performance in </t>
  </si>
  <si>
    <t xml:space="preserve">accordance with generally accepted accounting principles. We believe segment cash cost per ton sold better reflects our controllable costs and our operating results by </t>
  </si>
  <si>
    <t xml:space="preserve">including all costs incurred to produce coal. The adjustments made to arrive at these measures are significant in understanding and assessing our financial condition. </t>
  </si>
  <si>
    <t>Therefore, segment cash cost of coal sales should not be considered in isolation, nor as an alternative to cost of sales under generally accepted accounting principles.</t>
  </si>
  <si>
    <t xml:space="preserve">GAAP Cost of sales in the consolidated income statements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</si>
</sst>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_(&quot;$&quot;* #,##0.00_)_%;_(&quot;$&quot;* \(#,##0.00\)_%;_(&quot;$&quot;* &quot;—&quot;_);_(@_)"/>
    <numFmt numFmtId="169" formatCode="#,##0_)%;\(#,##0\)%;&quot;—&quot;\%;_(@_)"/>
    <numFmt numFmtId="170" formatCode="_(#,##0_)_%;_(\(#,##0\)_%;_(&quot;—&quot;_);_(@_)"/>
    <numFmt numFmtId="171" formatCode="_(* #,##0.0_);_(* \(#,##0.0\);_(* &quot;-&quot;??_);_(@_)"/>
    <numFmt numFmtId="172" formatCode="_(&quot;$&quot;* #,##0.0_);_(&quot;$&quot;* \(#,##0.0\);_(&quot;$&quot;* &quot;-&quot;??_);_(@_)"/>
    <numFmt numFmtId="173" formatCode="#,##0.00;\(#,##0.00\)"/>
  </numFmts>
  <fonts count="2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8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0" fontId="2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1" fillId="0" borderId="0"/>
    <xf numFmtId="0" fontId="1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5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 indent="1"/>
    </xf>
    <xf numFmtId="167" fontId="7" fillId="0" borderId="0" xfId="0" applyNumberFormat="1" applyFont="1" applyAlignment="1"/>
    <xf numFmtId="0" fontId="7" fillId="0" borderId="0" xfId="0" applyFont="1" applyAlignment="1">
      <alignment wrapText="1" indent="2"/>
    </xf>
    <xf numFmtId="0" fontId="7" fillId="0" borderId="0" xfId="0" applyFont="1" applyAlignment="1">
      <alignment wrapText="1"/>
    </xf>
    <xf numFmtId="167" fontId="7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left"/>
    </xf>
    <xf numFmtId="167" fontId="7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wrapText="1" indent="3"/>
    </xf>
    <xf numFmtId="167" fontId="7" fillId="0" borderId="0" xfId="0" applyNumberFormat="1" applyFont="1" applyFill="1" applyBorder="1" applyAlignment="1"/>
    <xf numFmtId="167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167" fontId="14" fillId="0" borderId="0" xfId="0" applyNumberFormat="1" applyFont="1" applyFill="1" applyAlignment="1"/>
    <xf numFmtId="0" fontId="0" fillId="0" borderId="0" xfId="0" applyFill="1" applyAlignment="1">
      <alignment wrapText="1"/>
    </xf>
    <xf numFmtId="167" fontId="14" fillId="0" borderId="1" xfId="0" applyNumberFormat="1" applyFont="1" applyFill="1" applyBorder="1" applyAlignment="1"/>
    <xf numFmtId="165" fontId="14" fillId="0" borderId="5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wrapText="1" indent="1"/>
    </xf>
    <xf numFmtId="166" fontId="7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7" fillId="0" borderId="2" xfId="1" applyNumberFormat="1" applyFont="1" applyFill="1" applyBorder="1" applyAlignment="1">
      <alignment horizontal="right"/>
    </xf>
    <xf numFmtId="0" fontId="7" fillId="0" borderId="0" xfId="0" applyFont="1" applyFill="1" applyAlignment="1">
      <alignment wrapText="1" indent="2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166" fontId="7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wrapText="1" indent="2"/>
    </xf>
    <xf numFmtId="164" fontId="7" fillId="0" borderId="4" xfId="2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169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2" applyNumberFormat="1" applyFont="1" applyFill="1" applyAlignment="1"/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/>
    <xf numFmtId="167" fontId="7" fillId="0" borderId="1" xfId="0" applyNumberFormat="1" applyFont="1" applyFill="1" applyBorder="1" applyAlignment="1"/>
    <xf numFmtId="166" fontId="7" fillId="0" borderId="1" xfId="1" applyNumberFormat="1" applyFont="1" applyFill="1" applyBorder="1" applyAlignment="1"/>
    <xf numFmtId="164" fontId="7" fillId="0" borderId="4" xfId="2" applyNumberFormat="1" applyFont="1" applyFill="1" applyBorder="1" applyAlignment="1"/>
    <xf numFmtId="166" fontId="7" fillId="0" borderId="2" xfId="1" applyNumberFormat="1" applyFont="1" applyFill="1" applyBorder="1" applyAlignment="1"/>
    <xf numFmtId="167" fontId="7" fillId="0" borderId="3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5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wrapText="1"/>
    </xf>
    <xf numFmtId="167" fontId="14" fillId="0" borderId="0" xfId="0" applyNumberFormat="1" applyFont="1" applyFill="1" applyBorder="1" applyAlignment="1"/>
    <xf numFmtId="166" fontId="7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43" fontId="4" fillId="0" borderId="0" xfId="1" applyFont="1" applyAlignment="1">
      <alignment wrapText="1"/>
    </xf>
    <xf numFmtId="0" fontId="7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/>
    <xf numFmtId="166" fontId="0" fillId="0" borderId="0" xfId="1" applyNumberFormat="1" applyFont="1" applyAlignment="1">
      <alignment wrapText="1"/>
    </xf>
    <xf numFmtId="170" fontId="7" fillId="0" borderId="0" xfId="0" applyNumberFormat="1" applyFont="1" applyFill="1" applyAlignment="1"/>
    <xf numFmtId="17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quotePrefix="1" applyFont="1" applyAlignment="1">
      <alignment wrapText="1"/>
    </xf>
    <xf numFmtId="0" fontId="7" fillId="0" borderId="0" xfId="0" applyFont="1" applyAlignment="1"/>
    <xf numFmtId="0" fontId="11" fillId="0" borderId="0" xfId="0" applyFont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  <xf numFmtId="166" fontId="7" fillId="0" borderId="0" xfId="1" applyNumberFormat="1" applyFont="1" applyFill="1" applyBorder="1" applyAlignment="1">
      <alignment horizontal="left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horizontal="left" wrapText="1" indent="2"/>
    </xf>
    <xf numFmtId="0" fontId="9" fillId="0" borderId="0" xfId="0" applyFont="1" applyBorder="1" applyAlignment="1">
      <alignment horizontal="center" wrapText="1"/>
    </xf>
    <xf numFmtId="164" fontId="7" fillId="0" borderId="0" xfId="2" applyNumberFormat="1" applyFont="1" applyFill="1" applyBorder="1" applyAlignment="1"/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/>
    </xf>
    <xf numFmtId="164" fontId="14" fillId="0" borderId="0" xfId="2" applyNumberFormat="1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 wrapText="1"/>
    </xf>
    <xf numFmtId="165" fontId="7" fillId="0" borderId="0" xfId="0" applyNumberFormat="1" applyFont="1" applyFill="1" applyBorder="1" applyAlignment="1"/>
    <xf numFmtId="166" fontId="7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7" fillId="0" borderId="0" xfId="24" applyNumberFormat="1" applyFont="1" applyFill="1" applyBorder="1" applyAlignment="1"/>
    <xf numFmtId="172" fontId="7" fillId="0" borderId="0" xfId="25" applyNumberFormat="1" applyFont="1" applyFill="1" applyBorder="1" applyAlignment="1"/>
    <xf numFmtId="171" fontId="7" fillId="0" borderId="1" xfId="24" applyNumberFormat="1" applyFont="1" applyFill="1" applyBorder="1" applyAlignment="1"/>
    <xf numFmtId="171" fontId="7" fillId="0" borderId="0" xfId="24" applyNumberFormat="1" applyFont="1" applyFill="1" applyBorder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7" fillId="0" borderId="4" xfId="2" applyFont="1" applyFill="1" applyBorder="1" applyAlignment="1">
      <alignment horizontal="right"/>
    </xf>
    <xf numFmtId="0" fontId="7" fillId="0" borderId="0" xfId="30" applyFont="1" applyAlignment="1">
      <alignment horizontal="left"/>
    </xf>
    <xf numFmtId="0" fontId="22" fillId="0" borderId="0" xfId="31"/>
    <xf numFmtId="0" fontId="9" fillId="0" borderId="3" xfId="30" applyFont="1" applyBorder="1" applyAlignment="1">
      <alignment horizontal="center" wrapText="1"/>
    </xf>
    <xf numFmtId="0" fontId="7" fillId="0" borderId="0" xfId="30" applyFont="1" applyAlignment="1">
      <alignment wrapText="1"/>
    </xf>
    <xf numFmtId="164" fontId="7" fillId="0" borderId="0" xfId="25" applyNumberFormat="1" applyFont="1" applyFill="1" applyBorder="1" applyAlignment="1"/>
    <xf numFmtId="0" fontId="7" fillId="0" borderId="0" xfId="30" applyFont="1" applyAlignment="1">
      <alignment wrapText="1" indent="2"/>
    </xf>
    <xf numFmtId="43" fontId="7" fillId="0" borderId="1" xfId="24" applyFont="1" applyFill="1" applyBorder="1" applyAlignment="1"/>
    <xf numFmtId="43" fontId="7" fillId="0" borderId="0" xfId="24" applyFont="1" applyFill="1" applyBorder="1" applyAlignment="1"/>
    <xf numFmtId="172" fontId="7" fillId="0" borderId="4" xfId="25" applyNumberFormat="1" applyFont="1" applyFill="1" applyBorder="1" applyAlignment="1"/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30" applyFont="1" applyAlignment="1"/>
    <xf numFmtId="44" fontId="7" fillId="0" borderId="0" xfId="30" applyNumberFormat="1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4" fontId="7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/>
    </xf>
    <xf numFmtId="44" fontId="7" fillId="0" borderId="4" xfId="2" applyNumberFormat="1" applyFont="1" applyFill="1" applyBorder="1" applyAlignment="1">
      <alignment horizontal="right"/>
    </xf>
    <xf numFmtId="166" fontId="7" fillId="0" borderId="4" xfId="1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/>
    <xf numFmtId="0" fontId="0" fillId="0" borderId="0" xfId="0" applyAlignment="1">
      <alignment wrapText="1"/>
    </xf>
    <xf numFmtId="167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/>
    <xf numFmtId="44" fontId="7" fillId="0" borderId="0" xfId="25" applyFont="1" applyFill="1" applyBorder="1" applyAlignment="1"/>
    <xf numFmtId="0" fontId="4" fillId="0" borderId="0" xfId="30" applyBorder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30" applyFont="1" applyAlignment="1">
      <alignment horizontal="left"/>
    </xf>
    <xf numFmtId="0" fontId="7" fillId="0" borderId="0" xfId="0" applyFont="1" applyAlignment="1">
      <alignment wrapText="1"/>
    </xf>
    <xf numFmtId="0" fontId="8" fillId="0" borderId="1" xfId="30" applyFont="1" applyBorder="1" applyAlignment="1"/>
    <xf numFmtId="0" fontId="23" fillId="0" borderId="0" xfId="0" applyFont="1" applyAlignment="1">
      <alignment wrapText="1"/>
    </xf>
    <xf numFmtId="0" fontId="24" fillId="0" borderId="6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/>
    <xf numFmtId="164" fontId="7" fillId="0" borderId="0" xfId="2" applyNumberFormat="1" applyFont="1" applyBorder="1"/>
    <xf numFmtId="0" fontId="7" fillId="0" borderId="0" xfId="0" applyFont="1" applyAlignment="1">
      <alignment horizontal="left" wrapText="1" indent="1"/>
    </xf>
    <xf numFmtId="0" fontId="17" fillId="0" borderId="0" xfId="31" applyFont="1"/>
    <xf numFmtId="164" fontId="7" fillId="0" borderId="0" xfId="2" applyNumberFormat="1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31" applyAlignment="1"/>
    <xf numFmtId="0" fontId="17" fillId="0" borderId="0" xfId="31" applyFont="1" applyAlignment="1"/>
    <xf numFmtId="0" fontId="25" fillId="0" borderId="0" xfId="31" applyFont="1" applyAlignment="1"/>
    <xf numFmtId="0" fontId="7" fillId="0" borderId="0" xfId="0" applyFont="1" applyAlignment="1">
      <alignment vertical="center"/>
    </xf>
    <xf numFmtId="0" fontId="17" fillId="0" borderId="0" xfId="31" applyFont="1" applyAlignment="1">
      <alignment horizontal="left"/>
    </xf>
    <xf numFmtId="0" fontId="22" fillId="0" borderId="0" xfId="31" applyAlignment="1">
      <alignment horizontal="left" wrapText="1"/>
    </xf>
    <xf numFmtId="0" fontId="7" fillId="0" borderId="0" xfId="3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7" fontId="7" fillId="0" borderId="0" xfId="1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166" fontId="7" fillId="0" borderId="1" xfId="1" applyNumberFormat="1" applyFont="1" applyFill="1" applyBorder="1" applyAlignment="1">
      <alignment horizontal="left"/>
    </xf>
    <xf numFmtId="165" fontId="7" fillId="0" borderId="4" xfId="0" applyNumberFormat="1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6" fontId="7" fillId="0" borderId="0" xfId="1" applyNumberFormat="1" applyFont="1" applyFill="1" applyBorder="1"/>
    <xf numFmtId="166" fontId="7" fillId="0" borderId="0" xfId="1" applyNumberFormat="1" applyFont="1" applyFill="1"/>
    <xf numFmtId="164" fontId="7" fillId="0" borderId="2" xfId="2" applyNumberFormat="1" applyFont="1" applyFill="1" applyBorder="1"/>
    <xf numFmtId="44" fontId="7" fillId="0" borderId="0" xfId="2" applyFont="1" applyFill="1" applyBorder="1"/>
    <xf numFmtId="164" fontId="7" fillId="0" borderId="5" xfId="2" applyNumberFormat="1" applyFont="1" applyFill="1" applyBorder="1"/>
    <xf numFmtId="0" fontId="24" fillId="0" borderId="6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wrapText="1" indent="1"/>
    </xf>
    <xf numFmtId="0" fontId="8" fillId="0" borderId="1" xfId="0" applyFont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1" applyNumberFormat="1" applyFont="1" applyFill="1" applyBorder="1"/>
    <xf numFmtId="166" fontId="7" fillId="0" borderId="0" xfId="1" applyNumberFormat="1" applyFont="1" applyBorder="1"/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171" fontId="7" fillId="0" borderId="0" xfId="1" applyNumberFormat="1" applyFont="1" applyFill="1" applyBorder="1" applyAlignment="1"/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7" fillId="0" borderId="0" xfId="0" applyFont="1" applyFill="1" applyAlignment="1">
      <alignment wrapText="1"/>
    </xf>
    <xf numFmtId="0" fontId="8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5" fillId="0" borderId="0" xfId="30" applyFont="1" applyAlignment="1">
      <alignment horizontal="center" wrapText="1"/>
    </xf>
    <xf numFmtId="0" fontId="7" fillId="0" borderId="0" xfId="30" applyFont="1" applyAlignment="1">
      <alignment horizontal="left"/>
    </xf>
    <xf numFmtId="0" fontId="8" fillId="0" borderId="2" xfId="30" applyFont="1" applyBorder="1" applyAlignment="1">
      <alignment horizontal="center" wrapText="1"/>
    </xf>
    <xf numFmtId="0" fontId="22" fillId="0" borderId="0" xfId="31" applyAlignment="1">
      <alignment wrapText="1"/>
    </xf>
    <xf numFmtId="0" fontId="4" fillId="0" borderId="0" xfId="30" applyAlignment="1">
      <alignment horizontal="left"/>
    </xf>
    <xf numFmtId="0" fontId="5" fillId="0" borderId="0" xfId="3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applyFont="1" applyBorder="1" applyAlignment="1">
      <alignment horizontal="center" wrapText="1"/>
    </xf>
  </cellXfs>
  <cellStyles count="45">
    <cellStyle name="Comma" xfId="1" builtinId="3"/>
    <cellStyle name="Comma 2" xfId="4"/>
    <cellStyle name="Comma 3" xfId="5"/>
    <cellStyle name="Comma 3 2" xfId="28"/>
    <cellStyle name="Comma 3 2 2" xfId="42"/>
    <cellStyle name="Comma 3 3" xfId="20"/>
    <cellStyle name="Comma 3 3 2" xfId="38"/>
    <cellStyle name="Comma 3 4" xfId="32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2 2" xfId="43"/>
    <cellStyle name="Currency 3 3" xfId="21"/>
    <cellStyle name="Currency 3 3 2" xfId="39"/>
    <cellStyle name="Currency 3 4" xfId="33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2 4 2" xfId="40"/>
    <cellStyle name="Normal 3" xfId="11"/>
    <cellStyle name="Normal 3 2" xfId="27"/>
    <cellStyle name="Normal 3 2 2" xfId="41"/>
    <cellStyle name="Normal 3 3" xfId="19"/>
    <cellStyle name="Normal 3 3 2" xfId="37"/>
    <cellStyle name="Normal 3 4" xfId="34"/>
    <cellStyle name="Normal 4" xfId="12"/>
    <cellStyle name="Normal 5" xfId="23"/>
    <cellStyle name="Normal 5 2" xfId="30"/>
    <cellStyle name="Normal 6" xfId="15"/>
    <cellStyle name="Normal 6 2" xfId="36"/>
    <cellStyle name="Normal 7" xfId="14"/>
    <cellStyle name="Normal 7 2" xfId="35"/>
    <cellStyle name="Normal 8" xfId="31"/>
    <cellStyle name="Normal 8 2" xfId="44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3"/>
  <sheetViews>
    <sheetView tabSelected="1" workbookViewId="0">
      <selection activeCell="J18" sqref="J18"/>
    </sheetView>
  </sheetViews>
  <sheetFormatPr defaultColWidth="21.5" defaultRowHeight="13.5" customHeight="1" x14ac:dyDescent="0.2"/>
  <cols>
    <col min="1" max="1" width="74" style="1" bestFit="1" customWidth="1"/>
    <col min="2" max="2" width="17.83203125" style="1" customWidth="1"/>
    <col min="3" max="3" width="17.83203125" style="161" customWidth="1"/>
    <col min="4" max="4" width="1" style="1" customWidth="1"/>
    <col min="5" max="6" width="17.83203125" style="1" customWidth="1"/>
    <col min="7" max="9" width="21.5" style="1" hidden="1" customWidth="1"/>
    <col min="10" max="16384" width="21.5" style="1"/>
  </cols>
  <sheetData>
    <row r="1" spans="1:11" ht="13.5" customHeight="1" x14ac:dyDescent="0.25">
      <c r="A1" s="243" t="s">
        <v>0</v>
      </c>
      <c r="B1" s="243"/>
      <c r="C1" s="243"/>
    </row>
    <row r="2" spans="1:11" ht="13.5" customHeight="1" x14ac:dyDescent="0.25">
      <c r="A2" s="243" t="s">
        <v>147</v>
      </c>
      <c r="B2" s="243"/>
      <c r="C2" s="243"/>
    </row>
    <row r="3" spans="1:11" ht="13.5" customHeight="1" x14ac:dyDescent="0.25">
      <c r="A3" s="243" t="s">
        <v>1</v>
      </c>
      <c r="B3" s="243"/>
      <c r="C3" s="243"/>
    </row>
    <row r="4" spans="1:11" ht="13.5" customHeight="1" x14ac:dyDescent="0.2">
      <c r="A4" s="2"/>
      <c r="B4" s="2"/>
    </row>
    <row r="5" spans="1:11" s="97" customFormat="1" ht="13.5" customHeight="1" x14ac:dyDescent="0.2">
      <c r="A5" s="13"/>
      <c r="B5" s="13"/>
      <c r="C5" s="161"/>
    </row>
    <row r="6" spans="1:11" ht="13.5" customHeight="1" x14ac:dyDescent="0.2">
      <c r="A6" s="3"/>
      <c r="B6" s="242" t="s">
        <v>172</v>
      </c>
      <c r="C6" s="242"/>
      <c r="E6" s="242" t="s">
        <v>173</v>
      </c>
      <c r="F6" s="242"/>
      <c r="H6" s="233" t="s">
        <v>179</v>
      </c>
    </row>
    <row r="7" spans="1:11" ht="12.75" x14ac:dyDescent="0.2">
      <c r="A7" s="3"/>
      <c r="B7" s="112">
        <v>2018</v>
      </c>
      <c r="C7" s="164">
        <v>2017</v>
      </c>
      <c r="E7" s="222">
        <v>2018</v>
      </c>
      <c r="F7" s="164">
        <v>2017</v>
      </c>
    </row>
    <row r="8" spans="1:11" ht="13.5" customHeight="1" x14ac:dyDescent="0.2">
      <c r="A8" s="3"/>
      <c r="B8" s="237" t="s">
        <v>2</v>
      </c>
      <c r="C8" s="237" t="s">
        <v>2</v>
      </c>
      <c r="D8" s="239"/>
      <c r="E8" s="237" t="s">
        <v>2</v>
      </c>
      <c r="F8" s="239"/>
    </row>
    <row r="9" spans="1:11" ht="13.5" customHeight="1" x14ac:dyDescent="0.2">
      <c r="A9" s="3"/>
      <c r="B9" s="16"/>
      <c r="C9" s="16"/>
      <c r="E9" s="16"/>
      <c r="F9" s="16"/>
    </row>
    <row r="10" spans="1:11" ht="13.5" customHeight="1" x14ac:dyDescent="0.2">
      <c r="A10" s="44" t="s">
        <v>3</v>
      </c>
      <c r="B10" s="155">
        <v>650963</v>
      </c>
      <c r="C10" s="155">
        <v>560244</v>
      </c>
      <c r="E10" s="155">
        <v>2451787</v>
      </c>
      <c r="F10" s="155">
        <v>2324623</v>
      </c>
      <c r="H10" s="155">
        <v>1800824</v>
      </c>
      <c r="I10" s="234">
        <f>E10-H10</f>
        <v>650963</v>
      </c>
      <c r="J10" s="234"/>
      <c r="K10" s="234"/>
    </row>
    <row r="11" spans="1:11" ht="13.5" customHeight="1" x14ac:dyDescent="0.2">
      <c r="A11" s="18"/>
      <c r="B11" s="156"/>
      <c r="C11" s="156"/>
      <c r="E11" s="156"/>
      <c r="F11" s="156"/>
      <c r="H11" s="156"/>
      <c r="I11" s="234"/>
    </row>
    <row r="12" spans="1:11" ht="13.5" customHeight="1" x14ac:dyDescent="0.2">
      <c r="A12" s="44" t="s">
        <v>4</v>
      </c>
      <c r="B12" s="156"/>
      <c r="C12" s="156"/>
      <c r="E12" s="156"/>
      <c r="F12" s="156"/>
      <c r="H12" s="156"/>
      <c r="I12" s="234"/>
    </row>
    <row r="13" spans="1:11" ht="13.5" customHeight="1" x14ac:dyDescent="0.2">
      <c r="A13" s="45" t="s">
        <v>5</v>
      </c>
      <c r="B13" s="52">
        <v>514005</v>
      </c>
      <c r="C13" s="52">
        <f>451221-522</f>
        <v>450699</v>
      </c>
      <c r="D13" s="33"/>
      <c r="E13" s="52">
        <f>1953172-27970</f>
        <v>1925202</v>
      </c>
      <c r="F13" s="52">
        <f>1843093-3100</f>
        <v>1839993</v>
      </c>
      <c r="H13" s="52">
        <v>1411197</v>
      </c>
      <c r="I13" s="52">
        <f t="shared" ref="I13:I53" si="0">E13-H13</f>
        <v>514005</v>
      </c>
    </row>
    <row r="14" spans="1:11" ht="13.5" customHeight="1" x14ac:dyDescent="0.2">
      <c r="A14" s="45" t="s">
        <v>6</v>
      </c>
      <c r="B14" s="52">
        <v>27536</v>
      </c>
      <c r="C14" s="52">
        <v>27928</v>
      </c>
      <c r="E14" s="52">
        <v>119563</v>
      </c>
      <c r="F14" s="52">
        <v>122464</v>
      </c>
      <c r="H14" s="52">
        <v>92027</v>
      </c>
      <c r="I14" s="52">
        <f t="shared" si="0"/>
        <v>27536</v>
      </c>
    </row>
    <row r="15" spans="1:11" s="97" customFormat="1" ht="13.5" customHeight="1" x14ac:dyDescent="0.2">
      <c r="A15" s="45" t="s">
        <v>80</v>
      </c>
      <c r="B15" s="52">
        <v>6993</v>
      </c>
      <c r="C15" s="52">
        <v>7383</v>
      </c>
      <c r="E15" s="52">
        <v>27970</v>
      </c>
      <c r="F15" s="52">
        <v>30209</v>
      </c>
      <c r="H15" s="52">
        <v>20977</v>
      </c>
      <c r="I15" s="52">
        <f t="shared" si="0"/>
        <v>6993</v>
      </c>
    </row>
    <row r="16" spans="1:11" ht="13.5" customHeight="1" x14ac:dyDescent="0.2">
      <c r="A16" s="45" t="s">
        <v>82</v>
      </c>
      <c r="B16" s="52">
        <v>1567</v>
      </c>
      <c r="C16" s="52">
        <v>11082</v>
      </c>
      <c r="E16" s="52">
        <v>11107</v>
      </c>
      <c r="F16" s="52">
        <v>53985</v>
      </c>
      <c r="H16" s="52">
        <v>9540</v>
      </c>
      <c r="I16" s="52">
        <f t="shared" si="0"/>
        <v>1567</v>
      </c>
    </row>
    <row r="17" spans="1:9" ht="13.5" customHeight="1" x14ac:dyDescent="0.2">
      <c r="A17" s="45" t="s">
        <v>7</v>
      </c>
      <c r="B17" s="52">
        <v>-13024</v>
      </c>
      <c r="C17" s="52">
        <v>4477</v>
      </c>
      <c r="E17" s="52">
        <v>9118</v>
      </c>
      <c r="F17" s="52">
        <v>7222</v>
      </c>
      <c r="H17" s="52">
        <v>22142</v>
      </c>
      <c r="I17" s="52">
        <f t="shared" si="0"/>
        <v>-13024</v>
      </c>
    </row>
    <row r="18" spans="1:9" ht="13.5" customHeight="1" x14ac:dyDescent="0.2">
      <c r="A18" s="45" t="s">
        <v>8</v>
      </c>
      <c r="B18" s="52">
        <v>26687</v>
      </c>
      <c r="C18" s="52">
        <f>23100+344</f>
        <v>23444</v>
      </c>
      <c r="E18" s="52">
        <v>100300</v>
      </c>
      <c r="F18" s="52">
        <f>86821+1131</f>
        <v>87952</v>
      </c>
      <c r="H18" s="52">
        <v>73613</v>
      </c>
      <c r="I18" s="52">
        <f t="shared" si="0"/>
        <v>26687</v>
      </c>
    </row>
    <row r="19" spans="1:9" s="230" customFormat="1" ht="13.5" customHeight="1" x14ac:dyDescent="0.2">
      <c r="A19" s="45" t="s">
        <v>169</v>
      </c>
      <c r="B19" s="52">
        <v>0</v>
      </c>
      <c r="C19" s="52">
        <v>277</v>
      </c>
      <c r="E19" s="52">
        <v>0</v>
      </c>
      <c r="F19" s="52">
        <v>-21297</v>
      </c>
      <c r="H19" s="52">
        <v>0</v>
      </c>
      <c r="I19" s="52">
        <f t="shared" si="0"/>
        <v>0</v>
      </c>
    </row>
    <row r="20" spans="1:9" ht="13.5" customHeight="1" x14ac:dyDescent="0.2">
      <c r="A20" s="45" t="s">
        <v>180</v>
      </c>
      <c r="B20" s="46">
        <v>709</v>
      </c>
      <c r="C20" s="46">
        <f>-16175+12</f>
        <v>-16163</v>
      </c>
      <c r="E20" s="46">
        <f>23478-44089</f>
        <v>-20611</v>
      </c>
      <c r="F20" s="46">
        <f>-30270+29</f>
        <v>-30241</v>
      </c>
      <c r="H20" s="46">
        <v>-21320</v>
      </c>
      <c r="I20" s="46">
        <f t="shared" si="0"/>
        <v>709</v>
      </c>
    </row>
    <row r="21" spans="1:9" ht="13.5" customHeight="1" x14ac:dyDescent="0.2">
      <c r="A21" s="47"/>
      <c r="B21" s="46">
        <f>SUM(B13:B20)</f>
        <v>564473</v>
      </c>
      <c r="C21" s="46">
        <f>SUM(C13:C20)</f>
        <v>509127</v>
      </c>
      <c r="D21" s="33"/>
      <c r="E21" s="46">
        <f>SUM(E13:E20)</f>
        <v>2172649</v>
      </c>
      <c r="F21" s="46">
        <f>SUM(F13:F20)</f>
        <v>2090287</v>
      </c>
      <c r="H21" s="46">
        <v>1608176</v>
      </c>
      <c r="I21" s="46">
        <f t="shared" si="0"/>
        <v>564473</v>
      </c>
    </row>
    <row r="22" spans="1:9" ht="13.5" customHeight="1" x14ac:dyDescent="0.2">
      <c r="A22" s="18"/>
      <c r="B22" s="52"/>
      <c r="C22" s="52"/>
      <c r="E22" s="52"/>
      <c r="F22" s="52"/>
      <c r="H22" s="52"/>
      <c r="I22" s="52">
        <f t="shared" si="0"/>
        <v>0</v>
      </c>
    </row>
    <row r="23" spans="1:9" ht="13.5" customHeight="1" x14ac:dyDescent="0.2">
      <c r="A23" s="49" t="s">
        <v>141</v>
      </c>
      <c r="B23" s="52">
        <f>+B10-B21</f>
        <v>86490</v>
      </c>
      <c r="C23" s="52">
        <f>+C10-C21</f>
        <v>51117</v>
      </c>
      <c r="D23" s="33"/>
      <c r="E23" s="52">
        <f>+E10-E21</f>
        <v>279138</v>
      </c>
      <c r="F23" s="52">
        <f>+F10-F21</f>
        <v>234336</v>
      </c>
      <c r="H23" s="52">
        <v>192648</v>
      </c>
      <c r="I23" s="52">
        <f t="shared" si="0"/>
        <v>86490</v>
      </c>
    </row>
    <row r="24" spans="1:9" ht="13.5" customHeight="1" x14ac:dyDescent="0.2">
      <c r="A24" s="18"/>
      <c r="B24" s="52"/>
      <c r="C24" s="52"/>
      <c r="E24" s="52"/>
      <c r="F24" s="52"/>
      <c r="H24" s="52"/>
      <c r="I24" s="52">
        <f t="shared" si="0"/>
        <v>0</v>
      </c>
    </row>
    <row r="25" spans="1:9" ht="13.5" customHeight="1" x14ac:dyDescent="0.2">
      <c r="A25" s="44" t="s">
        <v>9</v>
      </c>
      <c r="B25" s="52"/>
      <c r="C25" s="52"/>
      <c r="E25" s="52"/>
      <c r="F25" s="52"/>
      <c r="H25" s="52"/>
      <c r="I25" s="52">
        <f t="shared" si="0"/>
        <v>0</v>
      </c>
    </row>
    <row r="26" spans="1:9" ht="13.5" customHeight="1" x14ac:dyDescent="0.2">
      <c r="A26" s="45" t="s">
        <v>10</v>
      </c>
      <c r="B26" s="52">
        <v>-4847</v>
      </c>
      <c r="C26" s="52">
        <v>-5505</v>
      </c>
      <c r="E26" s="52">
        <v>-20471</v>
      </c>
      <c r="F26" s="52">
        <v>-26905</v>
      </c>
      <c r="H26" s="52">
        <v>-15624</v>
      </c>
      <c r="I26" s="52">
        <f t="shared" si="0"/>
        <v>-4847</v>
      </c>
    </row>
    <row r="27" spans="1:9" ht="13.5" customHeight="1" x14ac:dyDescent="0.2">
      <c r="A27" s="45" t="s">
        <v>11</v>
      </c>
      <c r="B27" s="52">
        <v>2156</v>
      </c>
      <c r="C27" s="52">
        <v>560</v>
      </c>
      <c r="E27" s="52">
        <v>6782</v>
      </c>
      <c r="F27" s="52">
        <v>2649</v>
      </c>
      <c r="H27" s="52">
        <v>4626</v>
      </c>
      <c r="I27" s="52">
        <f t="shared" si="0"/>
        <v>2156</v>
      </c>
    </row>
    <row r="28" spans="1:9" ht="13.5" customHeight="1" x14ac:dyDescent="0.2">
      <c r="A28" s="18"/>
      <c r="B28" s="48">
        <f>SUM(B26:B27)</f>
        <v>-2691</v>
      </c>
      <c r="C28" s="48">
        <f>SUM(C26:C27)</f>
        <v>-4945</v>
      </c>
      <c r="E28" s="48">
        <f>SUM(E26:E27)</f>
        <v>-13689</v>
      </c>
      <c r="F28" s="48">
        <f>SUM(F26:F27)</f>
        <v>-24256</v>
      </c>
      <c r="H28" s="48">
        <v>-10998</v>
      </c>
      <c r="I28" s="48">
        <f t="shared" si="0"/>
        <v>-2691</v>
      </c>
    </row>
    <row r="29" spans="1:9" ht="13.5" customHeight="1" x14ac:dyDescent="0.2">
      <c r="A29" s="18"/>
      <c r="B29" s="52"/>
      <c r="C29" s="52"/>
      <c r="E29" s="52"/>
      <c r="F29" s="52"/>
      <c r="H29" s="52"/>
      <c r="I29" s="52">
        <f t="shared" si="0"/>
        <v>0</v>
      </c>
    </row>
    <row r="30" spans="1:9" s="97" customFormat="1" ht="13.5" customHeight="1" x14ac:dyDescent="0.2">
      <c r="A30" s="95" t="s">
        <v>142</v>
      </c>
      <c r="B30" s="52">
        <f>B23+B28</f>
        <v>83799</v>
      </c>
      <c r="C30" s="52">
        <f>C23+C28</f>
        <v>46172</v>
      </c>
      <c r="D30" s="33"/>
      <c r="E30" s="52">
        <f>E23+E28</f>
        <v>265449</v>
      </c>
      <c r="F30" s="52">
        <f>F23+F28</f>
        <v>210080</v>
      </c>
      <c r="H30" s="52">
        <v>181650</v>
      </c>
      <c r="I30" s="52">
        <f t="shared" si="0"/>
        <v>83799</v>
      </c>
    </row>
    <row r="31" spans="1:9" s="97" customFormat="1" ht="13.5" customHeight="1" x14ac:dyDescent="0.2">
      <c r="A31" s="95"/>
      <c r="B31" s="52"/>
      <c r="C31" s="52"/>
      <c r="E31" s="52"/>
      <c r="F31" s="52"/>
      <c r="H31" s="52"/>
      <c r="I31" s="52">
        <f t="shared" si="0"/>
        <v>0</v>
      </c>
    </row>
    <row r="32" spans="1:9" s="41" customFormat="1" ht="13.5" customHeight="1" x14ac:dyDescent="0.2">
      <c r="A32" s="50" t="s">
        <v>146</v>
      </c>
      <c r="B32" s="52"/>
      <c r="C32" s="52"/>
      <c r="E32" s="52"/>
      <c r="F32" s="52"/>
      <c r="H32" s="52"/>
      <c r="I32" s="52">
        <f t="shared" si="0"/>
        <v>0</v>
      </c>
    </row>
    <row r="33" spans="1:11" s="201" customFormat="1" ht="13.5" customHeight="1" x14ac:dyDescent="0.2">
      <c r="A33" s="45" t="s">
        <v>148</v>
      </c>
      <c r="B33" s="52">
        <v>-996</v>
      </c>
      <c r="C33" s="52">
        <v>-166</v>
      </c>
      <c r="E33" s="52">
        <v>-3202</v>
      </c>
      <c r="F33" s="52">
        <v>-1940</v>
      </c>
      <c r="G33" s="33"/>
      <c r="H33" s="52">
        <v>-2206</v>
      </c>
      <c r="I33" s="52">
        <f t="shared" si="0"/>
        <v>-996</v>
      </c>
      <c r="K33" s="33"/>
    </row>
    <row r="34" spans="1:11" s="41" customFormat="1" ht="13.5" customHeight="1" x14ac:dyDescent="0.2">
      <c r="A34" s="45" t="s">
        <v>73</v>
      </c>
      <c r="B34" s="52">
        <v>0</v>
      </c>
      <c r="C34" s="52">
        <v>0</v>
      </c>
      <c r="E34" s="52">
        <v>-485</v>
      </c>
      <c r="F34" s="52">
        <v>-2547</v>
      </c>
      <c r="H34" s="52">
        <v>-485</v>
      </c>
      <c r="I34" s="52">
        <f t="shared" si="0"/>
        <v>0</v>
      </c>
    </row>
    <row r="35" spans="1:11" s="78" customFormat="1" ht="13.5" customHeight="1" x14ac:dyDescent="0.2">
      <c r="A35" s="45" t="s">
        <v>74</v>
      </c>
      <c r="B35" s="46">
        <v>-60</v>
      </c>
      <c r="C35" s="46">
        <v>494</v>
      </c>
      <c r="E35" s="46">
        <v>-1661</v>
      </c>
      <c r="F35" s="46">
        <v>-2398</v>
      </c>
      <c r="H35" s="46">
        <v>-1601</v>
      </c>
      <c r="I35" s="46">
        <f t="shared" si="0"/>
        <v>-60</v>
      </c>
    </row>
    <row r="36" spans="1:11" s="70" customFormat="1" ht="13.5" customHeight="1" x14ac:dyDescent="0.2">
      <c r="A36" s="45"/>
      <c r="B36" s="48">
        <f>SUM(B33:B35)</f>
        <v>-1056</v>
      </c>
      <c r="C36" s="48">
        <f>SUM(C33:C35)</f>
        <v>328</v>
      </c>
      <c r="E36" s="48">
        <f>SUM(E33:E35)</f>
        <v>-5348</v>
      </c>
      <c r="F36" s="48">
        <f>SUM(F33:F35)</f>
        <v>-6885</v>
      </c>
      <c r="H36" s="48">
        <v>-4292</v>
      </c>
      <c r="I36" s="48">
        <f t="shared" si="0"/>
        <v>-1056</v>
      </c>
    </row>
    <row r="37" spans="1:11" s="41" customFormat="1" ht="13.5" customHeight="1" x14ac:dyDescent="0.2">
      <c r="A37" s="18"/>
      <c r="B37" s="52"/>
      <c r="C37" s="52"/>
      <c r="E37" s="52"/>
      <c r="F37" s="52"/>
      <c r="H37" s="52"/>
      <c r="I37" s="52">
        <f t="shared" si="0"/>
        <v>0</v>
      </c>
    </row>
    <row r="38" spans="1:11" ht="13.5" customHeight="1" x14ac:dyDescent="0.2">
      <c r="A38" s="51" t="s">
        <v>117</v>
      </c>
      <c r="B38" s="52">
        <f>B30+B36</f>
        <v>82743</v>
      </c>
      <c r="C38" s="52">
        <f>C30+C36</f>
        <v>46500</v>
      </c>
      <c r="D38" s="33"/>
      <c r="E38" s="52">
        <f>E30+E36</f>
        <v>260101</v>
      </c>
      <c r="F38" s="52">
        <f>F30+F36</f>
        <v>203195</v>
      </c>
      <c r="H38" s="52">
        <v>177358</v>
      </c>
      <c r="I38" s="52">
        <f t="shared" si="0"/>
        <v>82743</v>
      </c>
    </row>
    <row r="39" spans="1:11" ht="13.5" customHeight="1" x14ac:dyDescent="0.2">
      <c r="A39" s="51" t="s">
        <v>182</v>
      </c>
      <c r="B39" s="46">
        <v>-3351</v>
      </c>
      <c r="C39" s="46">
        <v>-34771</v>
      </c>
      <c r="E39" s="46">
        <v>-52476</v>
      </c>
      <c r="F39" s="46">
        <v>-35255</v>
      </c>
      <c r="H39" s="46">
        <v>-49125</v>
      </c>
      <c r="I39" s="46">
        <f t="shared" si="0"/>
        <v>-3351</v>
      </c>
    </row>
    <row r="40" spans="1:11" s="22" customFormat="1" ht="13.5" customHeight="1" x14ac:dyDescent="0.2">
      <c r="A40" s="51"/>
      <c r="B40" s="52"/>
      <c r="C40" s="52"/>
      <c r="E40" s="52"/>
      <c r="F40" s="52"/>
      <c r="H40" s="52"/>
      <c r="I40" s="52">
        <f t="shared" si="0"/>
        <v>0</v>
      </c>
    </row>
    <row r="41" spans="1:11" ht="13.5" customHeight="1" thickBot="1" x14ac:dyDescent="0.25">
      <c r="A41" s="53" t="s">
        <v>113</v>
      </c>
      <c r="B41" s="54">
        <f>B38-B39</f>
        <v>86094</v>
      </c>
      <c r="C41" s="54">
        <f>C38-C39</f>
        <v>81271</v>
      </c>
      <c r="D41" s="33"/>
      <c r="E41" s="54">
        <f>E38-E39</f>
        <v>312577</v>
      </c>
      <c r="F41" s="54">
        <f>F38-F39</f>
        <v>238450</v>
      </c>
      <c r="H41" s="54">
        <v>226483</v>
      </c>
      <c r="I41" s="54">
        <f t="shared" si="0"/>
        <v>86094</v>
      </c>
    </row>
    <row r="42" spans="1:11" ht="13.5" customHeight="1" thickTop="1" x14ac:dyDescent="0.2">
      <c r="A42" s="50"/>
      <c r="B42" s="156"/>
      <c r="C42" s="156"/>
      <c r="H42" s="230"/>
      <c r="I42" s="232">
        <f t="shared" si="0"/>
        <v>0</v>
      </c>
    </row>
    <row r="43" spans="1:11" ht="13.5" customHeight="1" x14ac:dyDescent="0.2">
      <c r="A43" s="44" t="s">
        <v>114</v>
      </c>
      <c r="B43" s="157"/>
      <c r="C43" s="157"/>
      <c r="H43" s="230"/>
      <c r="I43" s="232">
        <f t="shared" si="0"/>
        <v>0</v>
      </c>
    </row>
    <row r="44" spans="1:11" ht="13.5" customHeight="1" thickBot="1" x14ac:dyDescent="0.25">
      <c r="A44" s="71" t="s">
        <v>115</v>
      </c>
      <c r="B44" s="158">
        <f>ROUND(B41/B48,2)</f>
        <v>4.6900000000000004</v>
      </c>
      <c r="C44" s="158">
        <f>ROUND(C41/C48,2)</f>
        <v>3.75</v>
      </c>
      <c r="E44" s="158">
        <f>ROUND(E41/E48,2)</f>
        <v>15.9</v>
      </c>
      <c r="F44" s="158">
        <f>ROUND(F41/F48,2)</f>
        <v>10.050000000000001</v>
      </c>
      <c r="H44" s="158">
        <v>11.27</v>
      </c>
      <c r="I44" s="158">
        <f t="shared" si="0"/>
        <v>4.6300000000000008</v>
      </c>
    </row>
    <row r="45" spans="1:11" s="104" customFormat="1" ht="13.5" customHeight="1" thickTop="1" thickBot="1" x14ac:dyDescent="0.25">
      <c r="A45" s="103" t="s">
        <v>116</v>
      </c>
      <c r="B45" s="136">
        <f>ROUND(B41/B49,2)</f>
        <v>4.4400000000000004</v>
      </c>
      <c r="C45" s="136">
        <f>ROUND(C41/C49,2)</f>
        <v>3.64</v>
      </c>
      <c r="E45" s="136">
        <f>ROUND(E41/E49,2)</f>
        <v>15.15</v>
      </c>
      <c r="F45" s="136">
        <f>ROUND(F41/F49,2)</f>
        <v>9.84</v>
      </c>
      <c r="H45" s="136">
        <v>10.76</v>
      </c>
      <c r="I45" s="136">
        <f t="shared" si="0"/>
        <v>4.3900000000000006</v>
      </c>
    </row>
    <row r="46" spans="1:11" ht="13.5" customHeight="1" thickTop="1" x14ac:dyDescent="0.2">
      <c r="A46" s="72"/>
      <c r="B46" s="156"/>
      <c r="C46" s="156"/>
      <c r="E46" s="156"/>
      <c r="F46" s="156"/>
      <c r="H46" s="156"/>
      <c r="I46" s="156">
        <f t="shared" si="0"/>
        <v>0</v>
      </c>
    </row>
    <row r="47" spans="1:11" s="135" customFormat="1" ht="13.5" customHeight="1" x14ac:dyDescent="0.2">
      <c r="A47" s="50" t="s">
        <v>106</v>
      </c>
      <c r="B47" s="156"/>
      <c r="C47" s="156"/>
      <c r="E47" s="156"/>
      <c r="F47" s="156"/>
      <c r="H47" s="156"/>
      <c r="I47" s="156">
        <f t="shared" si="0"/>
        <v>0</v>
      </c>
    </row>
    <row r="48" spans="1:11" ht="13.5" customHeight="1" thickBot="1" x14ac:dyDescent="0.25">
      <c r="A48" s="71" t="s">
        <v>81</v>
      </c>
      <c r="B48" s="159">
        <v>18344</v>
      </c>
      <c r="C48" s="159">
        <v>21653</v>
      </c>
      <c r="E48" s="159">
        <v>19663</v>
      </c>
      <c r="F48" s="159">
        <v>23725</v>
      </c>
      <c r="H48" s="159">
        <v>20102</v>
      </c>
      <c r="I48" s="159">
        <f t="shared" si="0"/>
        <v>-439</v>
      </c>
    </row>
    <row r="49" spans="1:9" s="104" customFormat="1" ht="13.5" customHeight="1" thickTop="1" thickBot="1" x14ac:dyDescent="0.25">
      <c r="A49" s="103" t="s">
        <v>12</v>
      </c>
      <c r="B49" s="159">
        <v>19396</v>
      </c>
      <c r="C49" s="159">
        <v>22333</v>
      </c>
      <c r="E49" s="159">
        <v>20629</v>
      </c>
      <c r="F49" s="159">
        <v>24240</v>
      </c>
      <c r="H49" s="159">
        <v>21040</v>
      </c>
      <c r="I49" s="159">
        <f t="shared" si="0"/>
        <v>-411</v>
      </c>
    </row>
    <row r="50" spans="1:9" ht="13.5" customHeight="1" thickTop="1" x14ac:dyDescent="0.2">
      <c r="A50" s="72"/>
      <c r="B50" s="156"/>
      <c r="C50" s="156"/>
      <c r="E50" s="156"/>
      <c r="F50" s="156"/>
      <c r="H50" s="156"/>
      <c r="I50" s="156">
        <f t="shared" si="0"/>
        <v>0</v>
      </c>
    </row>
    <row r="51" spans="1:9" s="135" customFormat="1" ht="13.5" customHeight="1" thickBot="1" x14ac:dyDescent="0.25">
      <c r="A51" s="134" t="s">
        <v>107</v>
      </c>
      <c r="B51" s="136">
        <v>0.4</v>
      </c>
      <c r="C51" s="136">
        <v>0.35</v>
      </c>
      <c r="E51" s="136">
        <v>1.6</v>
      </c>
      <c r="F51" s="136">
        <v>1.05</v>
      </c>
      <c r="H51" s="136">
        <v>1.2</v>
      </c>
      <c r="I51" s="136">
        <f t="shared" si="0"/>
        <v>0.40000000000000013</v>
      </c>
    </row>
    <row r="52" spans="1:9" s="135" customFormat="1" ht="13.5" customHeight="1" thickTop="1" x14ac:dyDescent="0.2">
      <c r="A52" s="134"/>
      <c r="B52" s="156"/>
      <c r="C52" s="156"/>
      <c r="E52" s="156"/>
      <c r="F52" s="156"/>
      <c r="H52" s="156"/>
      <c r="I52" s="156">
        <f t="shared" si="0"/>
        <v>0</v>
      </c>
    </row>
    <row r="53" spans="1:9" ht="13.5" customHeight="1" thickBot="1" x14ac:dyDescent="0.25">
      <c r="A53" s="44" t="s">
        <v>151</v>
      </c>
      <c r="B53" s="55">
        <f>'Reconciliation page'!B34</f>
        <v>122586</v>
      </c>
      <c r="C53" s="55">
        <f>'Reconciliation page'!C34</f>
        <v>97787</v>
      </c>
      <c r="E53" s="55">
        <f>'Reconciliation page'!E34</f>
        <v>437778</v>
      </c>
      <c r="F53" s="55">
        <f>'Reconciliation page'!F34</f>
        <v>419697</v>
      </c>
      <c r="H53" s="55">
        <v>315192</v>
      </c>
      <c r="I53" s="55">
        <f t="shared" si="0"/>
        <v>122586</v>
      </c>
    </row>
    <row r="54" spans="1:9" ht="36.75" customHeight="1" thickTop="1" x14ac:dyDescent="0.2">
      <c r="A54" s="241" t="s">
        <v>183</v>
      </c>
      <c r="B54" s="241"/>
      <c r="C54" s="241"/>
      <c r="D54" s="241"/>
      <c r="E54" s="241"/>
      <c r="F54" s="241"/>
    </row>
    <row r="55" spans="1:9" ht="13.5" customHeight="1" x14ac:dyDescent="0.2">
      <c r="A55" s="18"/>
      <c r="B55" s="18"/>
    </row>
    <row r="56" spans="1:9" ht="13.5" customHeight="1" x14ac:dyDescent="0.2">
      <c r="A56" s="18"/>
      <c r="B56" s="21"/>
    </row>
    <row r="57" spans="1:9" ht="13.5" customHeight="1" x14ac:dyDescent="0.2">
      <c r="A57" s="18"/>
      <c r="B57" s="57"/>
    </row>
    <row r="58" spans="1:9" ht="13.5" customHeight="1" x14ac:dyDescent="0.2">
      <c r="A58" s="18"/>
      <c r="B58" s="18"/>
    </row>
    <row r="59" spans="1:9" ht="13.5" customHeight="1" x14ac:dyDescent="0.2">
      <c r="A59" s="18"/>
      <c r="B59" s="18"/>
    </row>
    <row r="60" spans="1:9" ht="13.5" customHeight="1" x14ac:dyDescent="0.2">
      <c r="A60" s="58"/>
      <c r="B60" s="58"/>
    </row>
    <row r="61" spans="1:9" ht="13.5" customHeight="1" x14ac:dyDescent="0.2">
      <c r="A61" s="58"/>
      <c r="B61" s="58"/>
    </row>
    <row r="62" spans="1:9" ht="13.5" customHeight="1" x14ac:dyDescent="0.2">
      <c r="A62" s="2"/>
      <c r="B62" s="2"/>
    </row>
    <row r="63" spans="1:9" ht="13.5" customHeight="1" x14ac:dyDescent="0.2">
      <c r="A63" s="2"/>
      <c r="B63" s="2"/>
    </row>
    <row r="64" spans="1:9" ht="13.5" customHeight="1" x14ac:dyDescent="0.2">
      <c r="A64" s="2"/>
      <c r="B64" s="2"/>
    </row>
    <row r="65" spans="1:2" ht="13.5" customHeight="1" x14ac:dyDescent="0.2">
      <c r="A65" s="2"/>
      <c r="B65" s="2"/>
    </row>
    <row r="66" spans="1:2" ht="13.5" customHeight="1" x14ac:dyDescent="0.2">
      <c r="A66" s="2"/>
      <c r="B66" s="2"/>
    </row>
    <row r="67" spans="1:2" ht="13.5" customHeight="1" x14ac:dyDescent="0.2">
      <c r="A67" s="2"/>
      <c r="B67" s="2"/>
    </row>
    <row r="68" spans="1:2" ht="13.5" customHeight="1" x14ac:dyDescent="0.2">
      <c r="A68" s="2"/>
      <c r="B68" s="2"/>
    </row>
    <row r="69" spans="1:2" ht="13.5" customHeight="1" x14ac:dyDescent="0.2">
      <c r="A69" s="2"/>
      <c r="B69" s="2"/>
    </row>
    <row r="70" spans="1:2" ht="13.5" customHeight="1" x14ac:dyDescent="0.2">
      <c r="A70" s="2"/>
      <c r="B70" s="2"/>
    </row>
    <row r="71" spans="1:2" ht="13.5" customHeight="1" x14ac:dyDescent="0.2">
      <c r="A71" s="2"/>
      <c r="B71" s="2"/>
    </row>
    <row r="72" spans="1:2" ht="13.5" customHeight="1" x14ac:dyDescent="0.2">
      <c r="A72" s="2"/>
      <c r="B72" s="2"/>
    </row>
    <row r="73" spans="1:2" ht="13.5" customHeight="1" x14ac:dyDescent="0.2">
      <c r="A73" s="2"/>
      <c r="B73" s="2"/>
    </row>
    <row r="74" spans="1:2" ht="13.5" customHeight="1" x14ac:dyDescent="0.2">
      <c r="A74" s="2"/>
      <c r="B74" s="2"/>
    </row>
    <row r="75" spans="1:2" ht="13.5" customHeight="1" x14ac:dyDescent="0.2">
      <c r="A75" s="2"/>
      <c r="B75" s="2"/>
    </row>
    <row r="76" spans="1:2" ht="13.5" customHeight="1" x14ac:dyDescent="0.2">
      <c r="A76" s="2"/>
      <c r="B76" s="2"/>
    </row>
    <row r="77" spans="1:2" ht="13.5" customHeight="1" x14ac:dyDescent="0.2">
      <c r="A77" s="2"/>
      <c r="B77" s="2"/>
    </row>
    <row r="78" spans="1:2" ht="13.5" customHeight="1" x14ac:dyDescent="0.2">
      <c r="A78" s="2"/>
      <c r="B78" s="2"/>
    </row>
    <row r="79" spans="1:2" ht="13.5" customHeight="1" x14ac:dyDescent="0.2">
      <c r="A79" s="2"/>
      <c r="B79" s="2"/>
    </row>
    <row r="80" spans="1:2" ht="13.5" customHeight="1" x14ac:dyDescent="0.2">
      <c r="A80" s="2"/>
      <c r="B80" s="2"/>
    </row>
    <row r="81" spans="1:2" ht="13.5" customHeight="1" x14ac:dyDescent="0.2">
      <c r="A81" s="2"/>
      <c r="B81" s="2"/>
    </row>
    <row r="82" spans="1:2" ht="13.5" customHeight="1" x14ac:dyDescent="0.2">
      <c r="A82" s="2"/>
      <c r="B82" s="2"/>
    </row>
    <row r="83" spans="1:2" ht="13.5" customHeight="1" x14ac:dyDescent="0.2">
      <c r="A83" s="2"/>
      <c r="B83" s="2"/>
    </row>
    <row r="84" spans="1:2" ht="13.5" customHeight="1" x14ac:dyDescent="0.2">
      <c r="A84" s="2"/>
      <c r="B84" s="2"/>
    </row>
    <row r="85" spans="1:2" ht="13.5" customHeight="1" x14ac:dyDescent="0.2">
      <c r="A85" s="2"/>
      <c r="B85" s="2"/>
    </row>
    <row r="86" spans="1:2" ht="13.5" customHeight="1" x14ac:dyDescent="0.2">
      <c r="A86" s="2"/>
      <c r="B86" s="2"/>
    </row>
    <row r="87" spans="1:2" ht="13.5" customHeight="1" x14ac:dyDescent="0.2">
      <c r="A87" s="2"/>
      <c r="B87" s="2"/>
    </row>
    <row r="88" spans="1:2" ht="13.5" customHeight="1" x14ac:dyDescent="0.2">
      <c r="A88" s="2"/>
      <c r="B88" s="2"/>
    </row>
    <row r="89" spans="1:2" ht="13.5" customHeight="1" x14ac:dyDescent="0.2">
      <c r="A89" s="2"/>
      <c r="B89" s="2"/>
    </row>
    <row r="90" spans="1:2" ht="13.5" customHeight="1" x14ac:dyDescent="0.2">
      <c r="A90" s="2"/>
      <c r="B90" s="2"/>
    </row>
    <row r="91" spans="1:2" ht="13.5" customHeight="1" x14ac:dyDescent="0.2">
      <c r="A91" s="2"/>
      <c r="B91" s="2"/>
    </row>
    <row r="92" spans="1:2" ht="13.5" customHeight="1" x14ac:dyDescent="0.2">
      <c r="A92" s="2"/>
      <c r="B92" s="2"/>
    </row>
    <row r="93" spans="1:2" ht="13.5" customHeight="1" x14ac:dyDescent="0.2">
      <c r="A93" s="2"/>
      <c r="B93" s="2"/>
    </row>
    <row r="94" spans="1:2" ht="13.5" customHeight="1" x14ac:dyDescent="0.2">
      <c r="A94" s="2"/>
      <c r="B94" s="2"/>
    </row>
    <row r="95" spans="1:2" ht="13.5" customHeight="1" x14ac:dyDescent="0.2">
      <c r="A95" s="2"/>
      <c r="B95" s="2"/>
    </row>
    <row r="96" spans="1:2" ht="13.5" customHeight="1" x14ac:dyDescent="0.2">
      <c r="A96" s="2"/>
      <c r="B96" s="2"/>
    </row>
    <row r="97" spans="1:2" ht="13.5" customHeight="1" x14ac:dyDescent="0.2">
      <c r="A97" s="2"/>
      <c r="B97" s="2"/>
    </row>
    <row r="98" spans="1:2" ht="13.5" customHeight="1" x14ac:dyDescent="0.2">
      <c r="A98" s="2"/>
      <c r="B98" s="2"/>
    </row>
    <row r="99" spans="1:2" ht="13.5" customHeight="1" x14ac:dyDescent="0.2">
      <c r="A99" s="2"/>
      <c r="B99" s="2"/>
    </row>
    <row r="100" spans="1:2" ht="13.5" customHeight="1" x14ac:dyDescent="0.2">
      <c r="A100" s="2"/>
      <c r="B100" s="2"/>
    </row>
    <row r="101" spans="1:2" ht="13.5" customHeight="1" x14ac:dyDescent="0.2">
      <c r="A101" s="2"/>
      <c r="B101" s="2"/>
    </row>
    <row r="102" spans="1:2" ht="13.5" customHeight="1" x14ac:dyDescent="0.2">
      <c r="A102" s="2"/>
      <c r="B102" s="2"/>
    </row>
    <row r="103" spans="1:2" ht="13.5" customHeight="1" x14ac:dyDescent="0.2">
      <c r="A103" s="2"/>
      <c r="B103" s="2"/>
    </row>
  </sheetData>
  <mergeCells count="6">
    <mergeCell ref="A54:F54"/>
    <mergeCell ref="E6:F6"/>
    <mergeCell ref="A1:C1"/>
    <mergeCell ref="A2:C2"/>
    <mergeCell ref="A3:C3"/>
    <mergeCell ref="B6:C6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2"/>
  <sheetViews>
    <sheetView workbookViewId="0">
      <selection activeCell="I45" sqref="I45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6.1640625" style="84" hidden="1" customWidth="1"/>
    <col min="6" max="6" width="21.5" style="1" hidden="1" customWidth="1"/>
    <col min="7" max="16384" width="21.5" style="1"/>
  </cols>
  <sheetData>
    <row r="1" spans="1:7" ht="13.5" customHeight="1" x14ac:dyDescent="0.25">
      <c r="A1" s="243" t="s">
        <v>0</v>
      </c>
      <c r="B1" s="244"/>
      <c r="C1" s="244"/>
    </row>
    <row r="2" spans="1:7" ht="13.5" customHeight="1" x14ac:dyDescent="0.25">
      <c r="A2" s="243" t="s">
        <v>13</v>
      </c>
      <c r="B2" s="244"/>
      <c r="C2" s="244"/>
    </row>
    <row r="3" spans="1:7" ht="13.5" customHeight="1" x14ac:dyDescent="0.25">
      <c r="A3" s="243" t="s">
        <v>14</v>
      </c>
      <c r="B3" s="244"/>
      <c r="C3" s="244"/>
    </row>
    <row r="4" spans="1:7" ht="13.5" customHeight="1" x14ac:dyDescent="0.2">
      <c r="A4" s="3"/>
      <c r="B4" s="3"/>
      <c r="C4" s="3"/>
      <c r="D4" s="3"/>
    </row>
    <row r="5" spans="1:7" s="97" customFormat="1" ht="13.5" customHeight="1" x14ac:dyDescent="0.2">
      <c r="A5" s="96"/>
      <c r="B5" s="115"/>
      <c r="C5" s="115"/>
      <c r="D5" s="96"/>
      <c r="E5" s="84"/>
    </row>
    <row r="6" spans="1:7" ht="13.5" customHeight="1" x14ac:dyDescent="0.2">
      <c r="A6" s="3"/>
      <c r="B6" s="116" t="s">
        <v>66</v>
      </c>
      <c r="C6" s="100" t="s">
        <v>66</v>
      </c>
      <c r="D6" s="3"/>
    </row>
    <row r="7" spans="1:7" ht="13.5" customHeight="1" x14ac:dyDescent="0.2">
      <c r="A7" s="3"/>
      <c r="B7" s="112">
        <v>2018</v>
      </c>
      <c r="C7" s="10">
        <v>2017</v>
      </c>
      <c r="D7" s="3"/>
    </row>
    <row r="8" spans="1:7" ht="13.5" customHeight="1" x14ac:dyDescent="0.2">
      <c r="A8" s="3"/>
      <c r="B8" s="109" t="s">
        <v>2</v>
      </c>
      <c r="C8" s="99"/>
      <c r="D8" s="3"/>
    </row>
    <row r="9" spans="1:7" ht="13.5" customHeight="1" x14ac:dyDescent="0.2">
      <c r="A9" s="4" t="s">
        <v>15</v>
      </c>
      <c r="B9" s="16"/>
      <c r="C9" s="3"/>
      <c r="D9" s="3"/>
    </row>
    <row r="10" spans="1:7" ht="13.5" customHeight="1" x14ac:dyDescent="0.2">
      <c r="A10" s="4" t="s">
        <v>16</v>
      </c>
      <c r="B10" s="16"/>
      <c r="C10" s="3"/>
      <c r="D10" s="3"/>
    </row>
    <row r="11" spans="1:7" ht="13.5" customHeight="1" x14ac:dyDescent="0.2">
      <c r="A11" s="5" t="s">
        <v>17</v>
      </c>
      <c r="B11" s="117">
        <v>264937</v>
      </c>
      <c r="C11" s="59">
        <v>273387</v>
      </c>
      <c r="D11" s="3"/>
    </row>
    <row r="12" spans="1:7" ht="13.5" customHeight="1" x14ac:dyDescent="0.2">
      <c r="A12" s="5" t="s">
        <v>184</v>
      </c>
      <c r="B12" s="20">
        <v>162797</v>
      </c>
      <c r="C12" s="61">
        <v>155846</v>
      </c>
      <c r="D12" s="3"/>
    </row>
    <row r="13" spans="1:7" ht="13.5" customHeight="1" x14ac:dyDescent="0.2">
      <c r="A13" s="5" t="s">
        <v>19</v>
      </c>
      <c r="B13" s="20">
        <v>200904</v>
      </c>
      <c r="C13" s="61">
        <v>172604</v>
      </c>
      <c r="D13" s="3"/>
      <c r="F13" s="148"/>
      <c r="G13" s="148"/>
    </row>
    <row r="14" spans="1:7" ht="13.5" customHeight="1" x14ac:dyDescent="0.2">
      <c r="A14" s="5" t="s">
        <v>20</v>
      </c>
      <c r="B14" s="20">
        <v>48926</v>
      </c>
      <c r="C14" s="61">
        <v>29771</v>
      </c>
      <c r="D14" s="3"/>
      <c r="F14" s="148"/>
      <c r="G14" s="148"/>
    </row>
    <row r="15" spans="1:7" ht="13.5" customHeight="1" x14ac:dyDescent="0.2">
      <c r="A15" s="5" t="s">
        <v>21</v>
      </c>
      <c r="B15" s="20">
        <v>125470</v>
      </c>
      <c r="C15" s="61">
        <v>128960</v>
      </c>
      <c r="D15" s="3"/>
      <c r="F15" s="148"/>
      <c r="G15" s="148"/>
    </row>
    <row r="16" spans="1:7" ht="13.5" hidden="1" customHeight="1" x14ac:dyDescent="0.2">
      <c r="A16" s="5" t="s">
        <v>22</v>
      </c>
      <c r="B16" s="20"/>
      <c r="C16" s="61">
        <v>0</v>
      </c>
      <c r="D16" s="3"/>
      <c r="F16" s="148"/>
      <c r="G16" s="148"/>
    </row>
    <row r="17" spans="1:7" s="27" customFormat="1" ht="13.5" hidden="1" customHeight="1" x14ac:dyDescent="0.2">
      <c r="A17" s="5" t="s">
        <v>24</v>
      </c>
      <c r="B17" s="20"/>
      <c r="C17" s="17">
        <v>0</v>
      </c>
      <c r="D17" s="26"/>
      <c r="E17" s="84"/>
      <c r="F17" s="148"/>
      <c r="G17" s="148"/>
    </row>
    <row r="18" spans="1:7" ht="13.5" hidden="1" customHeight="1" x14ac:dyDescent="0.2">
      <c r="A18" s="5" t="s">
        <v>23</v>
      </c>
      <c r="B18" s="20"/>
      <c r="C18" s="61">
        <v>0</v>
      </c>
      <c r="D18" s="3"/>
      <c r="F18" s="148"/>
      <c r="G18" s="148"/>
    </row>
    <row r="19" spans="1:7" ht="13.5" customHeight="1" x14ac:dyDescent="0.2">
      <c r="A19" s="5" t="s">
        <v>25</v>
      </c>
      <c r="B19" s="62">
        <f>4521+71228</f>
        <v>75749</v>
      </c>
      <c r="C19" s="63">
        <v>70426</v>
      </c>
      <c r="D19" s="83"/>
      <c r="F19" s="148"/>
      <c r="G19" s="148"/>
    </row>
    <row r="20" spans="1:7" ht="13.5" customHeight="1" x14ac:dyDescent="0.2">
      <c r="A20" s="5" t="s">
        <v>26</v>
      </c>
      <c r="B20" s="118">
        <f>SUM(B11:B19)</f>
        <v>878783</v>
      </c>
      <c r="C20" s="61">
        <f>SUM(C11:C19)</f>
        <v>830994</v>
      </c>
      <c r="D20" s="83"/>
      <c r="F20" s="148"/>
      <c r="G20" s="148"/>
    </row>
    <row r="21" spans="1:7" ht="13.5" customHeight="1" x14ac:dyDescent="0.2">
      <c r="A21" s="3"/>
      <c r="B21" s="105"/>
      <c r="C21" s="60"/>
      <c r="D21" s="3"/>
      <c r="F21" s="148"/>
      <c r="G21" s="148"/>
    </row>
    <row r="22" spans="1:7" ht="13.5" customHeight="1" x14ac:dyDescent="0.2">
      <c r="A22" s="4" t="s">
        <v>27</v>
      </c>
      <c r="B22" s="90">
        <v>834828</v>
      </c>
      <c r="C22" s="61">
        <v>955948</v>
      </c>
      <c r="D22" s="3"/>
      <c r="E22" s="87"/>
      <c r="F22" s="148"/>
      <c r="G22" s="148"/>
    </row>
    <row r="23" spans="1:7" ht="13.5" customHeight="1" x14ac:dyDescent="0.2">
      <c r="A23" s="3"/>
      <c r="B23" s="105"/>
      <c r="C23" s="60"/>
      <c r="D23" s="3"/>
    </row>
    <row r="24" spans="1:7" ht="13.5" customHeight="1" x14ac:dyDescent="0.2">
      <c r="A24" s="4" t="s">
        <v>28</v>
      </c>
      <c r="B24" s="105"/>
      <c r="C24" s="60"/>
      <c r="D24" s="3"/>
    </row>
    <row r="25" spans="1:7" ht="13.5" customHeight="1" x14ac:dyDescent="0.2">
      <c r="A25" s="5" t="s">
        <v>29</v>
      </c>
      <c r="B25" s="20">
        <v>104676</v>
      </c>
      <c r="C25" s="61">
        <v>106107</v>
      </c>
      <c r="D25" s="3"/>
    </row>
    <row r="26" spans="1:7" ht="13.5" customHeight="1" x14ac:dyDescent="0.2">
      <c r="A26" s="5" t="s">
        <v>30</v>
      </c>
      <c r="B26" s="62">
        <f>68003+600+170</f>
        <v>68773</v>
      </c>
      <c r="C26" s="63">
        <v>86583</v>
      </c>
      <c r="D26" s="3"/>
    </row>
    <row r="27" spans="1:7" ht="13.5" customHeight="1" x14ac:dyDescent="0.2">
      <c r="A27" s="7" t="s">
        <v>31</v>
      </c>
      <c r="B27" s="63">
        <f>SUM(B25:B26)</f>
        <v>173449</v>
      </c>
      <c r="C27" s="63">
        <f>SUM(C25:C26)</f>
        <v>192690</v>
      </c>
      <c r="D27" s="3"/>
    </row>
    <row r="28" spans="1:7" ht="13.5" customHeight="1" thickBot="1" x14ac:dyDescent="0.25">
      <c r="A28" s="8" t="s">
        <v>32</v>
      </c>
      <c r="B28" s="64">
        <f>+B27+B22+B20</f>
        <v>1887060</v>
      </c>
      <c r="C28" s="64">
        <f>+C20+C22+C27</f>
        <v>1979632</v>
      </c>
      <c r="D28" s="3"/>
    </row>
    <row r="29" spans="1:7" ht="13.5" customHeight="1" thickTop="1" x14ac:dyDescent="0.2">
      <c r="A29" s="3"/>
      <c r="B29" s="105"/>
      <c r="C29" s="60"/>
      <c r="D29" s="3"/>
    </row>
    <row r="30" spans="1:7" ht="13.5" customHeight="1" x14ac:dyDescent="0.2">
      <c r="A30" s="4" t="s">
        <v>95</v>
      </c>
      <c r="B30" s="105"/>
      <c r="C30" s="60"/>
      <c r="D30" s="3"/>
    </row>
    <row r="31" spans="1:7" ht="13.5" customHeight="1" x14ac:dyDescent="0.2">
      <c r="A31" s="98" t="s">
        <v>77</v>
      </c>
      <c r="B31" s="105"/>
      <c r="C31" s="60"/>
      <c r="D31" s="3"/>
    </row>
    <row r="32" spans="1:7" ht="13.5" customHeight="1" x14ac:dyDescent="0.2">
      <c r="A32" s="5" t="s">
        <v>33</v>
      </c>
      <c r="B32" s="110">
        <f>127275+749</f>
        <v>128024</v>
      </c>
      <c r="C32" s="59">
        <v>134137</v>
      </c>
      <c r="D32" s="3"/>
    </row>
    <row r="33" spans="1:6" ht="13.5" customHeight="1" x14ac:dyDescent="0.2">
      <c r="A33" s="5" t="s">
        <v>34</v>
      </c>
      <c r="B33" s="20">
        <f>183353+161</f>
        <v>183514</v>
      </c>
      <c r="C33" s="61">
        <v>184161</v>
      </c>
      <c r="D33" s="3"/>
    </row>
    <row r="34" spans="1:6" ht="13.5" customHeight="1" x14ac:dyDescent="0.2">
      <c r="A34" s="5" t="s">
        <v>35</v>
      </c>
      <c r="B34" s="63">
        <v>17797</v>
      </c>
      <c r="C34" s="63">
        <v>15783</v>
      </c>
      <c r="D34" s="3"/>
    </row>
    <row r="35" spans="1:6" ht="13.5" customHeight="1" x14ac:dyDescent="0.2">
      <c r="A35" s="7" t="s">
        <v>36</v>
      </c>
      <c r="B35" s="90">
        <f>SUM(B32:B34)</f>
        <v>329335</v>
      </c>
      <c r="C35" s="61">
        <f>SUM(C32:C34)</f>
        <v>334081</v>
      </c>
      <c r="D35" s="3"/>
    </row>
    <row r="36" spans="1:6" ht="13.5" customHeight="1" x14ac:dyDescent="0.2">
      <c r="A36" s="5" t="s">
        <v>37</v>
      </c>
      <c r="B36" s="90">
        <v>300186</v>
      </c>
      <c r="C36" s="61">
        <v>310134</v>
      </c>
      <c r="D36" s="3"/>
    </row>
    <row r="37" spans="1:6" ht="13.5" customHeight="1" x14ac:dyDescent="0.2">
      <c r="A37" s="5" t="s">
        <v>38</v>
      </c>
      <c r="B37" s="20">
        <v>230304</v>
      </c>
      <c r="C37" s="61">
        <v>308855</v>
      </c>
      <c r="D37" s="3"/>
    </row>
    <row r="38" spans="1:6" ht="13.5" customHeight="1" x14ac:dyDescent="0.2">
      <c r="A38" s="5" t="s">
        <v>39</v>
      </c>
      <c r="B38" s="90">
        <v>16147</v>
      </c>
      <c r="C38" s="61">
        <v>14036</v>
      </c>
      <c r="D38" s="3"/>
    </row>
    <row r="39" spans="1:6" ht="13.5" customHeight="1" x14ac:dyDescent="0.2">
      <c r="A39" s="5" t="s">
        <v>40</v>
      </c>
      <c r="B39" s="90">
        <v>83163</v>
      </c>
      <c r="C39" s="61">
        <v>102369</v>
      </c>
      <c r="D39" s="3"/>
    </row>
    <row r="40" spans="1:6" ht="13.5" customHeight="1" x14ac:dyDescent="0.2">
      <c r="A40" s="5" t="s">
        <v>41</v>
      </c>
      <c r="B40" s="90">
        <v>174303</v>
      </c>
      <c r="C40" s="61">
        <v>184835</v>
      </c>
      <c r="D40" s="3"/>
    </row>
    <row r="41" spans="1:6" ht="13.5" hidden="1" customHeight="1" x14ac:dyDescent="0.2">
      <c r="A41" s="5" t="s">
        <v>24</v>
      </c>
      <c r="B41" s="90"/>
      <c r="C41" s="61">
        <v>0</v>
      </c>
      <c r="D41" s="3"/>
    </row>
    <row r="42" spans="1:6" ht="13.5" customHeight="1" x14ac:dyDescent="0.2">
      <c r="A42" s="5" t="s">
        <v>42</v>
      </c>
      <c r="B42" s="62">
        <f>48774+22+5</f>
        <v>48801</v>
      </c>
      <c r="C42" s="63">
        <v>59457</v>
      </c>
      <c r="D42" s="3"/>
    </row>
    <row r="43" spans="1:6" ht="13.5" customHeight="1" x14ac:dyDescent="0.2">
      <c r="A43" s="7" t="s">
        <v>78</v>
      </c>
      <c r="B43" s="90">
        <f>SUM(B35:B42)</f>
        <v>1182239</v>
      </c>
      <c r="C43" s="61">
        <f>SUM(C35:C42)</f>
        <v>1313767</v>
      </c>
      <c r="D43" s="9"/>
    </row>
    <row r="44" spans="1:6" ht="13.5" customHeight="1" x14ac:dyDescent="0.2">
      <c r="A44" s="3"/>
      <c r="B44" s="105"/>
      <c r="C44" s="60"/>
      <c r="D44" s="3"/>
    </row>
    <row r="45" spans="1:6" ht="13.5" customHeight="1" x14ac:dyDescent="0.2">
      <c r="A45" s="4" t="s">
        <v>94</v>
      </c>
      <c r="B45" s="105"/>
      <c r="C45" s="60"/>
      <c r="D45" s="3"/>
    </row>
    <row r="46" spans="1:6" ht="13.5" customHeight="1" x14ac:dyDescent="0.2">
      <c r="A46" s="5" t="s">
        <v>43</v>
      </c>
      <c r="B46" s="90">
        <v>250</v>
      </c>
      <c r="C46" s="61">
        <v>250</v>
      </c>
      <c r="D46" s="3"/>
    </row>
    <row r="47" spans="1:6" ht="13.5" customHeight="1" x14ac:dyDescent="0.2">
      <c r="A47" s="5" t="s">
        <v>44</v>
      </c>
      <c r="B47" s="90">
        <v>717492</v>
      </c>
      <c r="C47" s="61">
        <v>700125</v>
      </c>
      <c r="D47" s="3"/>
    </row>
    <row r="48" spans="1:6" ht="13.5" customHeight="1" x14ac:dyDescent="0.2">
      <c r="A48" s="5" t="s">
        <v>103</v>
      </c>
      <c r="B48" s="20">
        <v>527666</v>
      </c>
      <c r="C48" s="61">
        <v>247232</v>
      </c>
      <c r="D48" s="9"/>
      <c r="F48" s="106"/>
    </row>
    <row r="49" spans="1:7" s="133" customFormat="1" ht="13.5" customHeight="1" x14ac:dyDescent="0.2">
      <c r="A49" s="5" t="s">
        <v>104</v>
      </c>
      <c r="B49" s="20">
        <v>-583883</v>
      </c>
      <c r="C49" s="61">
        <v>-302109</v>
      </c>
      <c r="D49" s="9"/>
      <c r="E49" s="84"/>
      <c r="F49" s="106"/>
    </row>
    <row r="50" spans="1:7" ht="13.5" customHeight="1" x14ac:dyDescent="0.2">
      <c r="A50" s="5" t="s">
        <v>99</v>
      </c>
      <c r="B50" s="63">
        <v>43296</v>
      </c>
      <c r="C50" s="63">
        <v>20367</v>
      </c>
      <c r="D50" s="83"/>
    </row>
    <row r="51" spans="1:7" ht="13.5" customHeight="1" x14ac:dyDescent="0.2">
      <c r="A51" s="7" t="s">
        <v>100</v>
      </c>
      <c r="B51" s="65">
        <f>SUM(B46:B50)</f>
        <v>704821</v>
      </c>
      <c r="C51" s="65">
        <f>SUM(C46:C50)</f>
        <v>665865</v>
      </c>
      <c r="D51" s="3"/>
    </row>
    <row r="52" spans="1:7" ht="13.5" customHeight="1" thickBot="1" x14ac:dyDescent="0.25">
      <c r="A52" s="8" t="s">
        <v>101</v>
      </c>
      <c r="B52" s="64">
        <f>+B43+B51</f>
        <v>1887060</v>
      </c>
      <c r="C52" s="64">
        <f>+C43+C51</f>
        <v>1979632</v>
      </c>
      <c r="D52" s="3"/>
    </row>
    <row r="53" spans="1:7" ht="13.5" customHeight="1" thickTop="1" x14ac:dyDescent="0.2">
      <c r="A53" s="3"/>
      <c r="B53" s="3"/>
      <c r="C53" s="3"/>
      <c r="D53" s="3"/>
    </row>
    <row r="54" spans="1:7" ht="13.5" customHeight="1" x14ac:dyDescent="0.2">
      <c r="B54" s="33"/>
      <c r="C54" s="33"/>
    </row>
    <row r="55" spans="1:7" ht="13.5" customHeight="1" x14ac:dyDescent="0.2">
      <c r="B55" s="91"/>
      <c r="C55" s="33"/>
      <c r="E55" s="84" t="s">
        <v>108</v>
      </c>
      <c r="F55" s="91">
        <f>C48</f>
        <v>247232</v>
      </c>
    </row>
    <row r="56" spans="1:7" ht="13.5" customHeight="1" x14ac:dyDescent="0.2">
      <c r="B56" s="33"/>
      <c r="E56" s="84" t="s">
        <v>109</v>
      </c>
      <c r="F56" s="91">
        <f>'Income Statement'!E41</f>
        <v>312577</v>
      </c>
    </row>
    <row r="57" spans="1:7" ht="13.5" customHeight="1" x14ac:dyDescent="0.2">
      <c r="B57" s="33"/>
      <c r="E57" s="84" t="s">
        <v>110</v>
      </c>
      <c r="F57" s="146">
        <f>-F61-F62</f>
        <v>-32143</v>
      </c>
      <c r="G57" s="84"/>
    </row>
    <row r="58" spans="1:7" ht="13.5" customHeight="1" x14ac:dyDescent="0.2">
      <c r="B58" s="33"/>
      <c r="F58" s="91"/>
    </row>
    <row r="59" spans="1:7" ht="13.5" customHeight="1" thickBot="1" x14ac:dyDescent="0.25">
      <c r="F59" s="147">
        <f>SUM(F55:F58)</f>
        <v>527666</v>
      </c>
    </row>
    <row r="60" spans="1:7" ht="13.5" customHeight="1" thickTop="1" x14ac:dyDescent="0.2">
      <c r="F60" s="91"/>
    </row>
    <row r="61" spans="1:7" ht="13.5" customHeight="1" x14ac:dyDescent="0.2">
      <c r="E61" s="84" t="s">
        <v>48</v>
      </c>
      <c r="F61" s="91">
        <v>31269</v>
      </c>
    </row>
    <row r="62" spans="1:7" ht="13.5" customHeight="1" x14ac:dyDescent="0.2">
      <c r="E62" s="84" t="s">
        <v>111</v>
      </c>
      <c r="F62" s="33">
        <v>874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3"/>
  <sheetViews>
    <sheetView workbookViewId="0">
      <selection activeCell="I39" sqref="I39"/>
    </sheetView>
  </sheetViews>
  <sheetFormatPr defaultColWidth="21.5" defaultRowHeight="12.75" x14ac:dyDescent="0.2"/>
  <cols>
    <col min="1" max="1" width="75.6640625" style="14" customWidth="1"/>
    <col min="2" max="2" width="17.5" style="14" customWidth="1"/>
    <col min="3" max="3" width="17.5" style="29" customWidth="1"/>
    <col min="4" max="4" width="21.5" style="14" customWidth="1"/>
    <col min="5" max="5" width="25.83203125" style="14" hidden="1" customWidth="1"/>
    <col min="6" max="6" width="25.83203125" style="225" hidden="1" customWidth="1"/>
    <col min="7" max="16384" width="21.5" style="14"/>
  </cols>
  <sheetData>
    <row r="1" spans="1:21" ht="14.25" customHeight="1" x14ac:dyDescent="0.25">
      <c r="A1" s="243" t="s">
        <v>0</v>
      </c>
      <c r="B1" s="245"/>
      <c r="C1" s="245"/>
      <c r="D1" s="12"/>
      <c r="E1" s="12"/>
      <c r="F1" s="224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4.25" customHeight="1" x14ac:dyDescent="0.25">
      <c r="A2" s="243" t="s">
        <v>65</v>
      </c>
      <c r="B2" s="245"/>
      <c r="C2" s="245"/>
      <c r="D2" s="12"/>
      <c r="E2" s="12"/>
      <c r="F2" s="224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4.25" customHeight="1" x14ac:dyDescent="0.25">
      <c r="A3" s="243" t="s">
        <v>14</v>
      </c>
      <c r="B3" s="245"/>
      <c r="C3" s="245"/>
      <c r="D3" s="12"/>
      <c r="E3" s="12"/>
      <c r="F3" s="22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6.75" customHeight="1" x14ac:dyDescent="0.2">
      <c r="A4" s="13"/>
      <c r="B4" s="12"/>
      <c r="C4" s="16"/>
      <c r="D4" s="12"/>
      <c r="E4" s="12"/>
      <c r="F4" s="22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.75" customHeight="1" x14ac:dyDescent="0.2">
      <c r="A5" s="12"/>
      <c r="B5" s="12"/>
      <c r="C5" s="16"/>
      <c r="D5" s="12"/>
      <c r="E5" s="12"/>
      <c r="F5" s="224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3.5" customHeight="1" x14ac:dyDescent="0.2">
      <c r="A6" s="12"/>
      <c r="B6" s="242" t="s">
        <v>174</v>
      </c>
      <c r="C6" s="242"/>
      <c r="D6" s="12"/>
      <c r="E6" s="227" t="s">
        <v>170</v>
      </c>
      <c r="F6" s="227" t="s">
        <v>165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12"/>
      <c r="B7" s="112">
        <v>2018</v>
      </c>
      <c r="C7" s="200">
        <v>2017</v>
      </c>
      <c r="D7" s="12"/>
      <c r="E7" s="226" t="s">
        <v>166</v>
      </c>
      <c r="F7" s="226" t="s">
        <v>171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3.5" customHeight="1" x14ac:dyDescent="0.2">
      <c r="A8" s="12"/>
      <c r="B8" s="238" t="s">
        <v>2</v>
      </c>
      <c r="C8" s="240"/>
      <c r="D8" s="12"/>
      <c r="E8" s="12"/>
      <c r="F8" s="22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3.5" customHeight="1" x14ac:dyDescent="0.2">
      <c r="A9" s="15" t="s">
        <v>64</v>
      </c>
      <c r="B9" s="16"/>
      <c r="C9" s="16"/>
      <c r="D9" s="12"/>
      <c r="E9" s="12"/>
      <c r="F9" s="22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3.5" customHeight="1" x14ac:dyDescent="0.2">
      <c r="A10" s="11" t="s">
        <v>113</v>
      </c>
      <c r="B10" s="117">
        <f>'Income Statement'!E41</f>
        <v>312577</v>
      </c>
      <c r="C10" s="117">
        <f>'Income Statement'!F41</f>
        <v>238450</v>
      </c>
      <c r="D10" s="9"/>
      <c r="E10" s="117">
        <v>103291</v>
      </c>
      <c r="F10" s="117">
        <f>B10-E10</f>
        <v>209286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3.5" customHeight="1" x14ac:dyDescent="0.2">
      <c r="A11" s="11" t="s">
        <v>161</v>
      </c>
      <c r="B11" s="94"/>
      <c r="C11" s="94"/>
      <c r="D11" s="12"/>
      <c r="E11" s="94"/>
      <c r="F11" s="9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3.5" customHeight="1" x14ac:dyDescent="0.2">
      <c r="A12" s="5" t="s">
        <v>6</v>
      </c>
      <c r="B12" s="20">
        <f>'Income Statement'!E14</f>
        <v>119563</v>
      </c>
      <c r="C12" s="20">
        <f>'Income Statement'!F14</f>
        <v>122464</v>
      </c>
      <c r="D12" s="12"/>
      <c r="E12" s="20">
        <v>60252</v>
      </c>
      <c r="F12" s="20">
        <f>B12-E12</f>
        <v>59311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97" customFormat="1" ht="13.5" customHeight="1" x14ac:dyDescent="0.2">
      <c r="A13" s="5" t="s">
        <v>80</v>
      </c>
      <c r="B13" s="20">
        <f>'Income Statement'!E15</f>
        <v>27970</v>
      </c>
      <c r="C13" s="20">
        <f>'Income Statement'!F15</f>
        <v>30209</v>
      </c>
      <c r="D13" s="96"/>
      <c r="E13" s="20">
        <v>13985</v>
      </c>
      <c r="F13" s="20">
        <f t="shared" ref="F13:F20" si="0">B13-E13</f>
        <v>13985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ht="13.5" customHeight="1" x14ac:dyDescent="0.2">
      <c r="A14" s="5" t="s">
        <v>82</v>
      </c>
      <c r="B14" s="20">
        <f>'Income Statement'!E16</f>
        <v>11107</v>
      </c>
      <c r="C14" s="20">
        <f>'Income Statement'!F16</f>
        <v>53985</v>
      </c>
      <c r="D14" s="12"/>
      <c r="E14" s="20">
        <v>6299</v>
      </c>
      <c r="F14" s="20">
        <f t="shared" si="0"/>
        <v>4808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3.5" customHeight="1" x14ac:dyDescent="0.2">
      <c r="A15" s="5" t="s">
        <v>63</v>
      </c>
      <c r="B15" s="20">
        <v>134</v>
      </c>
      <c r="C15" s="20">
        <v>2905</v>
      </c>
      <c r="D15" s="9"/>
      <c r="E15" s="20">
        <v>0</v>
      </c>
      <c r="F15" s="20">
        <f t="shared" si="0"/>
        <v>134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74" customFormat="1" ht="13.5" customHeight="1" x14ac:dyDescent="0.2">
      <c r="A16" s="5" t="s">
        <v>24</v>
      </c>
      <c r="B16" s="20">
        <v>18701</v>
      </c>
      <c r="C16" s="20">
        <v>-21965</v>
      </c>
      <c r="D16" s="9"/>
      <c r="E16" s="20">
        <v>8730</v>
      </c>
      <c r="F16" s="20">
        <f t="shared" si="0"/>
        <v>9971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ht="13.5" customHeight="1" x14ac:dyDescent="0.2">
      <c r="A17" s="5" t="s">
        <v>62</v>
      </c>
      <c r="B17" s="20">
        <v>17519</v>
      </c>
      <c r="C17" s="20">
        <v>10437</v>
      </c>
      <c r="D17" s="12"/>
      <c r="E17" s="20">
        <v>7992</v>
      </c>
      <c r="F17" s="20">
        <f t="shared" si="0"/>
        <v>9527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74" customFormat="1" ht="13.5" customHeight="1" x14ac:dyDescent="0.2">
      <c r="A18" s="5" t="s">
        <v>61</v>
      </c>
      <c r="B18" s="20">
        <v>-625</v>
      </c>
      <c r="C18" s="20">
        <v>-24327</v>
      </c>
      <c r="D18" s="73"/>
      <c r="E18" s="20">
        <v>131</v>
      </c>
      <c r="F18" s="20">
        <f t="shared" si="0"/>
        <v>-756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s="86" customFormat="1" ht="13.5" customHeight="1" x14ac:dyDescent="0.2">
      <c r="A19" s="45" t="s">
        <v>73</v>
      </c>
      <c r="B19" s="20">
        <v>485</v>
      </c>
      <c r="C19" s="20">
        <v>2547</v>
      </c>
      <c r="D19" s="85"/>
      <c r="E19" s="20">
        <v>485</v>
      </c>
      <c r="F19" s="20">
        <f t="shared" si="0"/>
        <v>0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ht="13.5" customHeight="1" x14ac:dyDescent="0.2">
      <c r="A20" s="5" t="s">
        <v>60</v>
      </c>
      <c r="B20" s="20">
        <v>4179</v>
      </c>
      <c r="C20" s="20">
        <v>3736</v>
      </c>
      <c r="D20" s="12"/>
      <c r="E20" s="20">
        <v>2170</v>
      </c>
      <c r="F20" s="20">
        <f t="shared" si="0"/>
        <v>2009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74" customFormat="1" ht="13.5" hidden="1" customHeight="1" x14ac:dyDescent="0.2">
      <c r="A21" s="5" t="s">
        <v>73</v>
      </c>
      <c r="B21" s="20"/>
      <c r="C21" s="20"/>
      <c r="D21" s="73"/>
      <c r="E21" s="20"/>
      <c r="F21" s="20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1" ht="13.5" customHeight="1" x14ac:dyDescent="0.2">
      <c r="A22" s="5" t="s">
        <v>59</v>
      </c>
      <c r="B22" s="94"/>
      <c r="C22" s="94"/>
      <c r="D22" s="12"/>
      <c r="E22" s="94"/>
      <c r="F22" s="9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3.5" customHeight="1" x14ac:dyDescent="0.2">
      <c r="A23" s="7" t="s">
        <v>58</v>
      </c>
      <c r="B23" s="20">
        <v>-22903</v>
      </c>
      <c r="C23" s="20">
        <v>8370</v>
      </c>
      <c r="D23" s="12"/>
      <c r="E23" s="20">
        <v>-20212</v>
      </c>
      <c r="F23" s="20">
        <f t="shared" ref="F23:F27" si="1">B23-E23</f>
        <v>-2691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3.5" customHeight="1" x14ac:dyDescent="0.2">
      <c r="A24" s="7" t="s">
        <v>21</v>
      </c>
      <c r="B24" s="20">
        <v>3490</v>
      </c>
      <c r="C24" s="20">
        <v>-19626</v>
      </c>
      <c r="D24" s="12"/>
      <c r="E24" s="20">
        <v>-28245</v>
      </c>
      <c r="F24" s="20">
        <f t="shared" si="1"/>
        <v>31735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3.5" customHeight="1" x14ac:dyDescent="0.2">
      <c r="A25" s="7" t="s">
        <v>57</v>
      </c>
      <c r="B25" s="20">
        <v>-14208</v>
      </c>
      <c r="C25" s="20">
        <v>17173</v>
      </c>
      <c r="D25" s="9"/>
      <c r="E25" s="20">
        <v>-11879</v>
      </c>
      <c r="F25" s="20">
        <f t="shared" si="1"/>
        <v>-2329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76" customFormat="1" ht="13.5" customHeight="1" x14ac:dyDescent="0.2">
      <c r="A26" s="7" t="s">
        <v>96</v>
      </c>
      <c r="B26" s="20">
        <f>-47073+103</f>
        <v>-46970</v>
      </c>
      <c r="C26" s="20">
        <v>-6834</v>
      </c>
      <c r="D26" s="9"/>
      <c r="E26" s="20">
        <v>11560</v>
      </c>
      <c r="F26" s="20">
        <f t="shared" si="1"/>
        <v>-58530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1:21" ht="13.5" customHeight="1" x14ac:dyDescent="0.2">
      <c r="A27" s="23" t="s">
        <v>47</v>
      </c>
      <c r="B27" s="20">
        <f>191+224-820-6623+10535+7716-9743-3460+1593-12669</f>
        <v>-13056</v>
      </c>
      <c r="C27" s="20">
        <f>-21051+1</f>
        <v>-21050</v>
      </c>
      <c r="D27" s="9"/>
      <c r="E27" s="20">
        <v>-9563</v>
      </c>
      <c r="F27" s="20">
        <f t="shared" si="1"/>
        <v>-3493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3.5" customHeight="1" x14ac:dyDescent="0.2">
      <c r="A28" s="19" t="s">
        <v>143</v>
      </c>
      <c r="B28" s="66">
        <f>SUM(B10:B27)</f>
        <v>417963</v>
      </c>
      <c r="C28" s="66">
        <f>SUM(C10:C27)</f>
        <v>396474</v>
      </c>
      <c r="D28" s="6"/>
      <c r="E28" s="66">
        <f>SUM(E10:E27)</f>
        <v>144996</v>
      </c>
      <c r="F28" s="66">
        <f>SUM(F10:F27)</f>
        <v>272967</v>
      </c>
      <c r="G28" s="12"/>
      <c r="H28" s="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3.5" customHeight="1" x14ac:dyDescent="0.2">
      <c r="A29" s="12"/>
      <c r="B29" s="162"/>
      <c r="C29" s="162"/>
      <c r="D29" s="12"/>
      <c r="E29" s="162"/>
      <c r="F29" s="16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3.5" customHeight="1" x14ac:dyDescent="0.2">
      <c r="A30" s="15" t="s">
        <v>56</v>
      </c>
      <c r="B30" s="94"/>
      <c r="C30" s="94"/>
      <c r="D30" s="12"/>
      <c r="E30" s="94"/>
      <c r="F30" s="9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3.5" customHeight="1" x14ac:dyDescent="0.2">
      <c r="A31" s="5" t="s">
        <v>55</v>
      </c>
      <c r="B31" s="20">
        <v>-95272</v>
      </c>
      <c r="C31" s="20">
        <v>-59205</v>
      </c>
      <c r="D31" s="12"/>
      <c r="E31" s="20">
        <v>-30049</v>
      </c>
      <c r="F31" s="20">
        <f t="shared" ref="F31:F36" si="2">B31-E31</f>
        <v>-65223</v>
      </c>
      <c r="G31" s="12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3.5" customHeight="1" x14ac:dyDescent="0.2">
      <c r="A32" s="5" t="s">
        <v>79</v>
      </c>
      <c r="B32" s="20">
        <v>-584</v>
      </c>
      <c r="C32" s="20">
        <v>-5296</v>
      </c>
      <c r="D32" s="12"/>
      <c r="E32" s="20">
        <v>-124</v>
      </c>
      <c r="F32" s="20">
        <f t="shared" si="2"/>
        <v>-460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3.5" customHeight="1" x14ac:dyDescent="0.2">
      <c r="A33" s="5" t="s">
        <v>162</v>
      </c>
      <c r="B33" s="20">
        <v>1083</v>
      </c>
      <c r="C33" s="20">
        <v>12920</v>
      </c>
      <c r="D33" s="12"/>
      <c r="E33" s="20">
        <v>56</v>
      </c>
      <c r="F33" s="20">
        <f t="shared" si="2"/>
        <v>1027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3.5" customHeight="1" x14ac:dyDescent="0.2">
      <c r="A34" s="5" t="s">
        <v>54</v>
      </c>
      <c r="B34" s="20">
        <v>-143328</v>
      </c>
      <c r="C34" s="20">
        <v>-258948</v>
      </c>
      <c r="D34" s="12"/>
      <c r="E34" s="20">
        <v>-110359</v>
      </c>
      <c r="F34" s="20">
        <f t="shared" si="2"/>
        <v>-32969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3.5" customHeight="1" x14ac:dyDescent="0.2">
      <c r="A35" s="5" t="s">
        <v>53</v>
      </c>
      <c r="B35" s="20">
        <v>136630</v>
      </c>
      <c r="C35" s="20">
        <v>190064</v>
      </c>
      <c r="D35" s="12"/>
      <c r="E35" s="20">
        <v>105150</v>
      </c>
      <c r="F35" s="20">
        <f t="shared" si="2"/>
        <v>31480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3.5" customHeight="1" x14ac:dyDescent="0.2">
      <c r="A36" s="5" t="s">
        <v>52</v>
      </c>
      <c r="B36" s="62">
        <v>-2481</v>
      </c>
      <c r="C36" s="62">
        <v>-10173</v>
      </c>
      <c r="D36" s="12"/>
      <c r="E36" s="62">
        <v>0</v>
      </c>
      <c r="F36" s="62">
        <f t="shared" si="2"/>
        <v>-2481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3.5" customHeight="1" x14ac:dyDescent="0.2">
      <c r="A37" s="19" t="s">
        <v>163</v>
      </c>
      <c r="B37" s="20">
        <f>SUM(B31:B36)</f>
        <v>-103952</v>
      </c>
      <c r="C37" s="20">
        <f>SUM(C31:C36)</f>
        <v>-130638</v>
      </c>
      <c r="D37" s="9"/>
      <c r="E37" s="20">
        <f>SUM(E31:E36)</f>
        <v>-35326</v>
      </c>
      <c r="F37" s="20">
        <f>SUM(F31:F36)</f>
        <v>-68626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3.5" customHeight="1" x14ac:dyDescent="0.2">
      <c r="A38" s="12"/>
      <c r="B38" s="94"/>
      <c r="C38" s="94"/>
      <c r="D38" s="12"/>
      <c r="E38" s="94"/>
      <c r="F38" s="9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3.5" customHeight="1" x14ac:dyDescent="0.2">
      <c r="A39" s="15" t="s">
        <v>51</v>
      </c>
      <c r="B39" s="94"/>
      <c r="C39" s="94"/>
      <c r="D39" s="12"/>
      <c r="E39" s="94"/>
      <c r="F39" s="9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127" customFormat="1" ht="13.5" customHeight="1" x14ac:dyDescent="0.2">
      <c r="A40" s="5" t="s">
        <v>98</v>
      </c>
      <c r="B40" s="20">
        <v>0</v>
      </c>
      <c r="C40" s="202">
        <v>298500</v>
      </c>
      <c r="D40" s="126"/>
      <c r="E40" s="20">
        <v>0</v>
      </c>
      <c r="F40" s="20">
        <f t="shared" ref="F40:F48" si="3">B40-E40</f>
        <v>0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</row>
    <row r="41" spans="1:21" ht="13.5" customHeight="1" x14ac:dyDescent="0.2">
      <c r="A41" s="5" t="s">
        <v>97</v>
      </c>
      <c r="B41" s="20">
        <v>0</v>
      </c>
      <c r="C41" s="20">
        <v>-325684</v>
      </c>
      <c r="D41" s="12"/>
      <c r="E41" s="20">
        <v>0</v>
      </c>
      <c r="F41" s="20">
        <f t="shared" si="3"/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s="204" customFormat="1" ht="13.5" customHeight="1" x14ac:dyDescent="0.2">
      <c r="A42" s="5" t="s">
        <v>144</v>
      </c>
      <c r="B42" s="20">
        <v>-3000</v>
      </c>
      <c r="C42" s="20">
        <v>-2250</v>
      </c>
      <c r="D42" s="203"/>
      <c r="E42" s="20">
        <v>-1500</v>
      </c>
      <c r="F42" s="20">
        <f t="shared" si="3"/>
        <v>-1500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</row>
    <row r="43" spans="1:21" ht="13.5" customHeight="1" x14ac:dyDescent="0.2">
      <c r="A43" s="5" t="s">
        <v>50</v>
      </c>
      <c r="B43" s="20">
        <v>-6077</v>
      </c>
      <c r="C43" s="20">
        <v>-694</v>
      </c>
      <c r="D43" s="12"/>
      <c r="E43" s="20">
        <v>-7307</v>
      </c>
      <c r="F43" s="20">
        <f t="shared" si="3"/>
        <v>1230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s="97" customFormat="1" ht="13.5" customHeight="1" x14ac:dyDescent="0.2">
      <c r="A44" s="5" t="s">
        <v>49</v>
      </c>
      <c r="B44" s="20">
        <v>-1257</v>
      </c>
      <c r="C44" s="20">
        <v>-10149</v>
      </c>
      <c r="D44" s="96"/>
      <c r="E44" s="20">
        <v>-529</v>
      </c>
      <c r="F44" s="20">
        <f t="shared" si="3"/>
        <v>-728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</row>
    <row r="45" spans="1:21" s="68" customFormat="1" ht="13.5" customHeight="1" x14ac:dyDescent="0.2">
      <c r="A45" s="45" t="s">
        <v>73</v>
      </c>
      <c r="B45" s="20">
        <v>-50</v>
      </c>
      <c r="C45" s="20">
        <v>-2360</v>
      </c>
      <c r="D45" s="67"/>
      <c r="E45" s="20">
        <v>-50</v>
      </c>
      <c r="F45" s="20">
        <f t="shared" si="3"/>
        <v>0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1:21" ht="13.5" customHeight="1" x14ac:dyDescent="0.2">
      <c r="A46" s="5" t="s">
        <v>48</v>
      </c>
      <c r="B46" s="20">
        <v>-31269</v>
      </c>
      <c r="C46" s="20">
        <v>-24369</v>
      </c>
      <c r="D46" s="12"/>
      <c r="E46" s="20">
        <v>-16333</v>
      </c>
      <c r="F46" s="20">
        <f t="shared" si="3"/>
        <v>-14936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s="25" customFormat="1" ht="13.5" customHeight="1" x14ac:dyDescent="0.2">
      <c r="A47" s="5" t="s">
        <v>105</v>
      </c>
      <c r="B47" s="20">
        <v>-280871</v>
      </c>
      <c r="C47" s="20">
        <v>-301512</v>
      </c>
      <c r="D47" s="24"/>
      <c r="E47" s="20">
        <v>-115973</v>
      </c>
      <c r="F47" s="20">
        <f t="shared" si="3"/>
        <v>-164898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s="43" customFormat="1" ht="13.5" customHeight="1" x14ac:dyDescent="0.2">
      <c r="A48" s="5" t="s">
        <v>47</v>
      </c>
      <c r="B48" s="62">
        <f>-162+10</f>
        <v>-152</v>
      </c>
      <c r="C48" s="62">
        <v>-138</v>
      </c>
      <c r="D48" s="42"/>
      <c r="E48" s="62">
        <v>10</v>
      </c>
      <c r="F48" s="62">
        <f t="shared" si="3"/>
        <v>-162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13.5" customHeight="1" x14ac:dyDescent="0.2">
      <c r="A49" s="7" t="s">
        <v>145</v>
      </c>
      <c r="B49" s="62">
        <f>SUM(B40:B48)</f>
        <v>-322676</v>
      </c>
      <c r="C49" s="62">
        <f>SUM(C40:C48)</f>
        <v>-368656</v>
      </c>
      <c r="D49" s="12"/>
      <c r="E49" s="62">
        <f>SUM(E40:E48)</f>
        <v>-141682</v>
      </c>
      <c r="F49" s="62">
        <f>SUM(F40:F48)</f>
        <v>-180994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3.5" customHeight="1" x14ac:dyDescent="0.2">
      <c r="A50" s="12"/>
      <c r="B50" s="94"/>
      <c r="C50" s="94"/>
      <c r="D50" s="12"/>
      <c r="E50" s="94"/>
      <c r="F50" s="94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3.5" customHeight="1" x14ac:dyDescent="0.2">
      <c r="A51" s="11" t="s">
        <v>164</v>
      </c>
      <c r="B51" s="20">
        <f>+B49+B37+B28</f>
        <v>-8665</v>
      </c>
      <c r="C51" s="20">
        <f>C28+C37+C49</f>
        <v>-102820</v>
      </c>
      <c r="D51" s="12"/>
      <c r="E51" s="20">
        <f>+E49+E37+E28</f>
        <v>-32012</v>
      </c>
      <c r="F51" s="20">
        <f>+F49+F37+F28</f>
        <v>23347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3.5" customHeight="1" x14ac:dyDescent="0.2">
      <c r="A52" s="11" t="s">
        <v>149</v>
      </c>
      <c r="B52" s="62">
        <f>273387+215</f>
        <v>273602</v>
      </c>
      <c r="C52" s="62">
        <f>305372+71050</f>
        <v>376422</v>
      </c>
      <c r="D52" s="12"/>
      <c r="E52" s="62">
        <f>273387+215</f>
        <v>273602</v>
      </c>
      <c r="F52" s="62">
        <v>291258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3.5" customHeight="1" x14ac:dyDescent="0.2">
      <c r="A53" s="12"/>
      <c r="B53" s="94"/>
      <c r="C53" s="94"/>
      <c r="D53" s="12"/>
      <c r="E53" s="94"/>
      <c r="F53" s="94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3.5" customHeight="1" thickBot="1" x14ac:dyDescent="0.25">
      <c r="A54" s="11" t="s">
        <v>150</v>
      </c>
      <c r="B54" s="55">
        <f>+B51+B52</f>
        <v>264937</v>
      </c>
      <c r="C54" s="55">
        <f>SUM(C51:C52)</f>
        <v>273602</v>
      </c>
      <c r="D54" s="12"/>
      <c r="E54" s="55">
        <f>+E51+E52</f>
        <v>241590</v>
      </c>
      <c r="F54" s="55">
        <f>+F51+F52</f>
        <v>314605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8.75" customHeight="1" thickTop="1" x14ac:dyDescent="0.2">
      <c r="A55" s="12"/>
      <c r="B55" s="56"/>
      <c r="C55" s="94"/>
      <c r="D55" s="12"/>
      <c r="E55" s="223"/>
      <c r="F55" s="223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8.75" customHeight="1" x14ac:dyDescent="0.2">
      <c r="A56" s="205" t="s">
        <v>150</v>
      </c>
      <c r="B56" s="61"/>
      <c r="C56" s="90"/>
      <c r="D56" s="12"/>
      <c r="E56" s="61"/>
      <c r="F56" s="6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8.75" customHeight="1" x14ac:dyDescent="0.2">
      <c r="A57" s="5" t="s">
        <v>17</v>
      </c>
      <c r="B57" s="69">
        <f>'Balance Sheet'!B11</f>
        <v>264937</v>
      </c>
      <c r="C57" s="166">
        <v>273387</v>
      </c>
      <c r="D57" s="12"/>
      <c r="E57" s="69">
        <v>241590</v>
      </c>
      <c r="F57" s="69">
        <v>241590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8.75" customHeight="1" x14ac:dyDescent="0.2">
      <c r="A58" s="5" t="s">
        <v>140</v>
      </c>
      <c r="B58" s="62">
        <v>0</v>
      </c>
      <c r="C58" s="206">
        <v>215</v>
      </c>
      <c r="D58" s="12"/>
      <c r="E58" s="62">
        <v>0</v>
      </c>
      <c r="F58" s="62"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3.5" customHeight="1" x14ac:dyDescent="0.2">
      <c r="A59" s="12"/>
      <c r="B59" s="69"/>
      <c r="C59" s="166"/>
      <c r="D59" s="12"/>
      <c r="E59" s="69"/>
      <c r="F59" s="69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8.75" customHeight="1" thickBot="1" x14ac:dyDescent="0.25">
      <c r="A60" s="12"/>
      <c r="B60" s="207">
        <f>SUM(B57:B59)</f>
        <v>264937</v>
      </c>
      <c r="C60" s="207">
        <f>SUM(C57:C59)</f>
        <v>273602</v>
      </c>
      <c r="D60" s="12"/>
      <c r="E60" s="207">
        <f>SUM(E57:E59)</f>
        <v>241590</v>
      </c>
      <c r="F60" s="207">
        <f>SUM(F57:F59)</f>
        <v>241590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8.75" customHeight="1" thickTop="1" x14ac:dyDescent="0.2">
      <c r="A61" s="12"/>
      <c r="B61" s="56"/>
      <c r="C61" s="94"/>
      <c r="D61" s="12"/>
      <c r="E61" s="12"/>
      <c r="F61" s="224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8.75" customHeight="1" x14ac:dyDescent="0.2">
      <c r="A62" s="12"/>
      <c r="B62" s="69"/>
      <c r="C62" s="94"/>
      <c r="D62" s="12"/>
      <c r="E62" s="12"/>
      <c r="F62" s="224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8.75" customHeight="1" x14ac:dyDescent="0.2">
      <c r="A63" s="12"/>
      <c r="B63" s="56"/>
      <c r="C63" s="94"/>
      <c r="D63" s="12"/>
      <c r="E63" s="12"/>
      <c r="F63" s="224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8.75" customHeight="1" x14ac:dyDescent="0.2">
      <c r="A64" s="12"/>
      <c r="B64" s="56"/>
      <c r="C64" s="94"/>
      <c r="D64" s="12"/>
      <c r="E64" s="12"/>
      <c r="F64" s="224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8.75" customHeight="1" x14ac:dyDescent="0.2">
      <c r="A65" s="12"/>
      <c r="B65" s="56"/>
      <c r="C65" s="94"/>
      <c r="D65" s="12"/>
      <c r="E65" s="12"/>
      <c r="F65" s="224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8.75" customHeight="1" x14ac:dyDescent="0.2">
      <c r="A66" s="12"/>
      <c r="B66" s="56"/>
      <c r="C66" s="94"/>
      <c r="D66" s="12"/>
      <c r="E66" s="12"/>
      <c r="F66" s="224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8.75" customHeight="1" x14ac:dyDescent="0.2">
      <c r="A67" s="12"/>
      <c r="B67" s="56"/>
      <c r="C67" s="94"/>
      <c r="D67" s="12"/>
      <c r="E67" s="12"/>
      <c r="F67" s="224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8.75" customHeight="1" x14ac:dyDescent="0.2">
      <c r="A68" s="12"/>
      <c r="B68" s="56"/>
      <c r="C68" s="94"/>
      <c r="D68" s="12"/>
      <c r="E68" s="12"/>
      <c r="F68" s="224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8.75" customHeight="1" x14ac:dyDescent="0.2">
      <c r="A69" s="12"/>
      <c r="B69" s="56"/>
      <c r="C69" s="94"/>
      <c r="D69" s="12"/>
      <c r="E69" s="12"/>
      <c r="F69" s="224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8.75" customHeight="1" x14ac:dyDescent="0.2">
      <c r="A70" s="12"/>
      <c r="B70" s="56"/>
      <c r="C70" s="94"/>
      <c r="D70" s="12"/>
      <c r="E70" s="12"/>
      <c r="F70" s="224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8.75" customHeight="1" x14ac:dyDescent="0.2">
      <c r="A71" s="12"/>
      <c r="B71" s="56"/>
      <c r="C71" s="94"/>
      <c r="D71" s="12"/>
      <c r="E71" s="12"/>
      <c r="F71" s="224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8.75" customHeight="1" x14ac:dyDescent="0.2">
      <c r="A72" s="12"/>
      <c r="B72" s="56"/>
      <c r="C72" s="94"/>
      <c r="D72" s="12"/>
      <c r="E72" s="12"/>
      <c r="F72" s="224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8.75" customHeight="1" x14ac:dyDescent="0.2">
      <c r="A73" s="12"/>
      <c r="B73" s="12"/>
      <c r="C73" s="16"/>
      <c r="D73" s="12"/>
      <c r="E73" s="12"/>
      <c r="F73" s="224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8.75" customHeight="1" x14ac:dyDescent="0.2">
      <c r="A74" s="12"/>
      <c r="B74" s="12"/>
      <c r="C74" s="16"/>
      <c r="D74" s="12"/>
      <c r="E74" s="12"/>
      <c r="F74" s="224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8.75" customHeight="1" x14ac:dyDescent="0.2">
      <c r="A75" s="12"/>
      <c r="B75" s="12"/>
      <c r="C75" s="16"/>
      <c r="D75" s="12"/>
      <c r="E75" s="12"/>
      <c r="F75" s="224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8.75" customHeight="1" x14ac:dyDescent="0.2">
      <c r="A76" s="12"/>
      <c r="B76" s="12"/>
      <c r="C76" s="16"/>
      <c r="D76" s="12"/>
      <c r="E76" s="12"/>
      <c r="F76" s="224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8.75" customHeight="1" x14ac:dyDescent="0.2">
      <c r="A77" s="12"/>
      <c r="B77" s="12"/>
      <c r="C77" s="16"/>
      <c r="D77" s="12"/>
      <c r="E77" s="12"/>
      <c r="F77" s="224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8.75" customHeight="1" x14ac:dyDescent="0.2">
      <c r="A78" s="12"/>
      <c r="B78" s="12"/>
      <c r="C78" s="16"/>
      <c r="D78" s="12"/>
      <c r="E78" s="12"/>
      <c r="F78" s="224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8.75" customHeight="1" x14ac:dyDescent="0.2">
      <c r="A79" s="12"/>
      <c r="B79" s="12"/>
      <c r="C79" s="16"/>
      <c r="D79" s="12"/>
      <c r="E79" s="12"/>
      <c r="F79" s="224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8.75" customHeight="1" x14ac:dyDescent="0.2">
      <c r="A80" s="12"/>
      <c r="B80" s="12"/>
      <c r="C80" s="16"/>
      <c r="D80" s="12"/>
      <c r="E80" s="12"/>
      <c r="F80" s="224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8.75" customHeight="1" x14ac:dyDescent="0.2">
      <c r="A81" s="12"/>
      <c r="B81" s="12"/>
      <c r="C81" s="16"/>
      <c r="D81" s="12"/>
      <c r="E81" s="12"/>
      <c r="F81" s="224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8.75" customHeight="1" x14ac:dyDescent="0.2">
      <c r="A82" s="12"/>
      <c r="B82" s="12"/>
      <c r="C82" s="16"/>
      <c r="D82" s="12"/>
      <c r="E82" s="12"/>
      <c r="F82" s="224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8.75" customHeight="1" x14ac:dyDescent="0.2">
      <c r="A83" s="12"/>
      <c r="B83" s="12"/>
      <c r="C83" s="16"/>
      <c r="D83" s="12"/>
      <c r="E83" s="12"/>
      <c r="F83" s="224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8.75" customHeight="1" x14ac:dyDescent="0.2">
      <c r="A84" s="12"/>
      <c r="B84" s="12"/>
      <c r="C84" s="16"/>
      <c r="D84" s="12"/>
      <c r="E84" s="12"/>
      <c r="F84" s="224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8.75" customHeight="1" x14ac:dyDescent="0.2">
      <c r="A85" s="12"/>
      <c r="B85" s="12"/>
      <c r="C85" s="16"/>
      <c r="D85" s="12"/>
      <c r="E85" s="12"/>
      <c r="F85" s="224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8.75" customHeight="1" x14ac:dyDescent="0.2">
      <c r="A86" s="12"/>
      <c r="B86" s="12"/>
      <c r="C86" s="16"/>
      <c r="D86" s="12"/>
      <c r="E86" s="12"/>
      <c r="F86" s="224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8.75" customHeight="1" x14ac:dyDescent="0.2">
      <c r="A87" s="12"/>
      <c r="B87" s="12"/>
      <c r="C87" s="16"/>
      <c r="D87" s="12"/>
      <c r="E87" s="12"/>
      <c r="F87" s="224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8.75" customHeight="1" x14ac:dyDescent="0.2">
      <c r="A88" s="12"/>
      <c r="B88" s="12"/>
      <c r="C88" s="16"/>
      <c r="D88" s="12"/>
      <c r="E88" s="12"/>
      <c r="F88" s="224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8.75" customHeight="1" x14ac:dyDescent="0.2">
      <c r="A89" s="12"/>
      <c r="B89" s="12"/>
      <c r="C89" s="16"/>
      <c r="D89" s="12"/>
      <c r="E89" s="12"/>
      <c r="F89" s="224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8.75" customHeight="1" x14ac:dyDescent="0.2">
      <c r="A90" s="12"/>
      <c r="B90" s="12"/>
      <c r="C90" s="16"/>
      <c r="D90" s="12"/>
      <c r="E90" s="12"/>
      <c r="F90" s="224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8.75" customHeight="1" x14ac:dyDescent="0.2">
      <c r="A91" s="12"/>
      <c r="B91" s="12"/>
      <c r="C91" s="16"/>
      <c r="D91" s="12"/>
      <c r="E91" s="12"/>
      <c r="F91" s="224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ht="18.75" customHeight="1" x14ac:dyDescent="0.2">
      <c r="A92" s="12"/>
      <c r="B92" s="12"/>
      <c r="C92" s="16"/>
      <c r="D92" s="12"/>
      <c r="E92" s="12"/>
      <c r="F92" s="224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 ht="18.75" customHeight="1" x14ac:dyDescent="0.2">
      <c r="A93" s="12"/>
      <c r="B93" s="12"/>
      <c r="C93" s="16"/>
      <c r="D93" s="12"/>
      <c r="E93" s="12"/>
      <c r="F93" s="224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</sheetData>
  <mergeCells count="4">
    <mergeCell ref="A1:C1"/>
    <mergeCell ref="A2:C2"/>
    <mergeCell ref="A3:C3"/>
    <mergeCell ref="B6:C6"/>
  </mergeCells>
  <pageMargins left="0.7" right="0.7" top="0.75" bottom="0.75" header="0.3" footer="0.3"/>
  <pageSetup scale="83" orientation="portrait" r:id="rId1"/>
  <ignoredErrors>
    <ignoredError sqref="C51 C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D95"/>
  <sheetViews>
    <sheetView workbookViewId="0">
      <selection activeCell="A10" sqref="A10"/>
    </sheetView>
  </sheetViews>
  <sheetFormatPr defaultColWidth="21.5" defaultRowHeight="12.75" x14ac:dyDescent="0.2"/>
  <cols>
    <col min="1" max="1" width="73" style="28" customWidth="1"/>
    <col min="2" max="2" width="2.1640625" style="28" customWidth="1"/>
    <col min="3" max="4" width="15.83203125" style="28" customWidth="1"/>
    <col min="5" max="16384" width="21.5" style="28"/>
  </cols>
  <sheetData>
    <row r="1" spans="1:4" ht="13.5" customHeight="1" x14ac:dyDescent="0.25">
      <c r="A1" s="246" t="s">
        <v>0</v>
      </c>
      <c r="B1" s="247"/>
      <c r="C1" s="247"/>
      <c r="D1" s="247"/>
    </row>
    <row r="2" spans="1:4" ht="13.5" customHeight="1" x14ac:dyDescent="0.25">
      <c r="A2" s="246" t="s">
        <v>67</v>
      </c>
      <c r="B2" s="247"/>
      <c r="C2" s="247"/>
      <c r="D2" s="247"/>
    </row>
    <row r="3" spans="1:4" ht="13.5" customHeight="1" x14ac:dyDescent="0.25">
      <c r="A3" s="246" t="s">
        <v>14</v>
      </c>
      <c r="B3" s="247"/>
      <c r="C3" s="247"/>
      <c r="D3" s="247"/>
    </row>
    <row r="4" spans="1:4" ht="6" customHeight="1" x14ac:dyDescent="0.2"/>
    <row r="5" spans="1:4" ht="18.75" customHeight="1" x14ac:dyDescent="0.2">
      <c r="A5" s="30"/>
      <c r="B5" s="30"/>
      <c r="C5" s="116" t="s">
        <v>66</v>
      </c>
      <c r="D5" s="102" t="s">
        <v>68</v>
      </c>
    </row>
    <row r="6" spans="1:4" ht="12.75" customHeight="1" x14ac:dyDescent="0.2">
      <c r="A6" s="30"/>
      <c r="B6" s="30"/>
      <c r="C6" s="112">
        <v>2018</v>
      </c>
      <c r="D6" s="31">
        <v>2017</v>
      </c>
    </row>
    <row r="7" spans="1:4" ht="18.75" customHeight="1" x14ac:dyDescent="0.2">
      <c r="A7" s="30"/>
      <c r="B7" s="30"/>
      <c r="C7" s="119" t="s">
        <v>2</v>
      </c>
      <c r="D7" s="101"/>
    </row>
    <row r="8" spans="1:4" ht="18.75" customHeight="1" x14ac:dyDescent="0.2">
      <c r="A8" s="30"/>
      <c r="B8" s="30"/>
      <c r="C8" s="120"/>
      <c r="D8" s="34"/>
    </row>
    <row r="9" spans="1:4" s="127" customFormat="1" ht="18.75" customHeight="1" x14ac:dyDescent="0.2">
      <c r="A9" s="126" t="s">
        <v>181</v>
      </c>
      <c r="B9" s="128"/>
      <c r="C9" s="121">
        <v>293626</v>
      </c>
      <c r="D9" s="114">
        <v>296435</v>
      </c>
    </row>
    <row r="10" spans="1:4" ht="13.5" customHeight="1" x14ac:dyDescent="0.2">
      <c r="A10" s="32" t="s">
        <v>47</v>
      </c>
      <c r="B10" s="30"/>
      <c r="C10" s="122">
        <f>6399+467+878+22158+547</f>
        <v>30449</v>
      </c>
      <c r="D10" s="82">
        <v>36514</v>
      </c>
    </row>
    <row r="11" spans="1:4" s="79" customFormat="1" ht="13.5" customHeight="1" x14ac:dyDescent="0.2">
      <c r="A11" s="81" t="s">
        <v>75</v>
      </c>
      <c r="B11" s="80"/>
      <c r="C11" s="123">
        <v>-6092</v>
      </c>
      <c r="D11" s="38">
        <v>-7032</v>
      </c>
    </row>
    <row r="12" spans="1:4" ht="13.5" customHeight="1" x14ac:dyDescent="0.2">
      <c r="A12" s="30"/>
      <c r="B12" s="30"/>
      <c r="C12" s="36">
        <f>SUM(C9:C11)</f>
        <v>317983</v>
      </c>
      <c r="D12" s="36">
        <f>SUM(D9:D11)</f>
        <v>325917</v>
      </c>
    </row>
    <row r="13" spans="1:4" ht="13.5" customHeight="1" x14ac:dyDescent="0.2">
      <c r="A13" s="248" t="s">
        <v>69</v>
      </c>
      <c r="B13" s="249"/>
      <c r="C13" s="82">
        <v>17797</v>
      </c>
      <c r="D13" s="36">
        <v>15783</v>
      </c>
    </row>
    <row r="14" spans="1:4" ht="13.5" customHeight="1" thickBot="1" x14ac:dyDescent="0.25">
      <c r="A14" s="32" t="s">
        <v>37</v>
      </c>
      <c r="B14" s="30"/>
      <c r="C14" s="39">
        <f>C12-C13</f>
        <v>300186</v>
      </c>
      <c r="D14" s="39">
        <f>D12-D13</f>
        <v>310134</v>
      </c>
    </row>
    <row r="15" spans="1:4" ht="13.5" customHeight="1" thickTop="1" x14ac:dyDescent="0.2">
      <c r="A15" s="30"/>
      <c r="B15" s="30"/>
      <c r="C15" s="120"/>
      <c r="D15" s="89"/>
    </row>
    <row r="16" spans="1:4" ht="13.5" customHeight="1" x14ac:dyDescent="0.2">
      <c r="A16" s="32" t="s">
        <v>70</v>
      </c>
      <c r="C16" s="111"/>
      <c r="D16" s="37"/>
    </row>
    <row r="17" spans="1:4" ht="13.5" customHeight="1" x14ac:dyDescent="0.2">
      <c r="A17" s="81" t="s">
        <v>76</v>
      </c>
      <c r="C17" s="124">
        <f>C12-C11</f>
        <v>324075</v>
      </c>
      <c r="D17" s="35">
        <f>D12-D11</f>
        <v>332949</v>
      </c>
    </row>
    <row r="18" spans="1:4" ht="13.5" customHeight="1" x14ac:dyDescent="0.2">
      <c r="A18" s="32" t="s">
        <v>71</v>
      </c>
      <c r="C18" s="125"/>
      <c r="D18" s="37"/>
    </row>
    <row r="19" spans="1:4" ht="13.5" customHeight="1" x14ac:dyDescent="0.2">
      <c r="A19" s="32" t="s">
        <v>17</v>
      </c>
      <c r="C19" s="82">
        <f>'Balance Sheet'!B11</f>
        <v>264937</v>
      </c>
      <c r="D19" s="36">
        <f>'Balance Sheet'!C11</f>
        <v>273387</v>
      </c>
    </row>
    <row r="20" spans="1:4" ht="13.5" customHeight="1" x14ac:dyDescent="0.2">
      <c r="A20" s="32" t="s">
        <v>18</v>
      </c>
      <c r="C20" s="38">
        <f>'Balance Sheet'!B12</f>
        <v>162797</v>
      </c>
      <c r="D20" s="38">
        <f>'Balance Sheet'!C12</f>
        <v>155846</v>
      </c>
    </row>
    <row r="21" spans="1:4" ht="13.5" customHeight="1" x14ac:dyDescent="0.2">
      <c r="A21" s="30"/>
      <c r="C21" s="82">
        <f>+C19+C20</f>
        <v>427734</v>
      </c>
      <c r="D21" s="36">
        <f>+D19+D20</f>
        <v>429233</v>
      </c>
    </row>
    <row r="22" spans="1:4" ht="13.5" customHeight="1" thickBot="1" x14ac:dyDescent="0.25">
      <c r="A22" s="32" t="s">
        <v>72</v>
      </c>
      <c r="C22" s="39">
        <f>+C17-C21</f>
        <v>-103659</v>
      </c>
      <c r="D22" s="39">
        <f>+D17-D21</f>
        <v>-96284</v>
      </c>
    </row>
    <row r="23" spans="1:4" ht="18.75" customHeight="1" thickTop="1" x14ac:dyDescent="0.2">
      <c r="C23" s="37"/>
      <c r="D23" s="37"/>
    </row>
    <row r="24" spans="1:4" ht="18.75" customHeight="1" x14ac:dyDescent="0.2"/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</sheetData>
  <mergeCells count="4">
    <mergeCell ref="A1:D1"/>
    <mergeCell ref="A2:D2"/>
    <mergeCell ref="A3:D3"/>
    <mergeCell ref="A13:B13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8"/>
  <sheetViews>
    <sheetView workbookViewId="0">
      <selection activeCell="B32" sqref="B32"/>
    </sheetView>
  </sheetViews>
  <sheetFormatPr defaultRowHeight="12.75" x14ac:dyDescent="0.2"/>
  <cols>
    <col min="1" max="1" width="60.1640625" style="138" customWidth="1"/>
    <col min="2" max="2" width="14.33203125" style="138" customWidth="1"/>
    <col min="3" max="3" width="10.1640625" style="138" bestFit="1" customWidth="1"/>
    <col min="4" max="4" width="14.33203125" style="138" customWidth="1"/>
    <col min="5" max="5" width="10.1640625" style="138" customWidth="1"/>
    <col min="6" max="6" width="14.33203125" style="138" customWidth="1"/>
    <col min="7" max="7" width="10.1640625" style="138" customWidth="1"/>
    <col min="8" max="10" width="9.33203125" style="138"/>
    <col min="11" max="11" width="14.1640625" style="138" bestFit="1" customWidth="1"/>
    <col min="12" max="13" width="12.83203125" style="138" bestFit="1" customWidth="1"/>
    <col min="14" max="16384" width="9.33203125" style="138"/>
  </cols>
  <sheetData>
    <row r="1" spans="1:7" ht="15.75" x14ac:dyDescent="0.25">
      <c r="A1" s="250" t="s">
        <v>0</v>
      </c>
      <c r="B1" s="250"/>
      <c r="C1" s="251"/>
      <c r="D1" s="251"/>
      <c r="E1" s="251"/>
      <c r="F1" s="251"/>
      <c r="G1" s="251"/>
    </row>
    <row r="2" spans="1:7" ht="15.75" x14ac:dyDescent="0.25">
      <c r="A2" s="250" t="s">
        <v>84</v>
      </c>
      <c r="B2" s="250"/>
      <c r="C2" s="251"/>
      <c r="D2" s="251"/>
      <c r="E2" s="251"/>
      <c r="F2" s="251"/>
      <c r="G2" s="251"/>
    </row>
    <row r="3" spans="1:7" ht="15.75" x14ac:dyDescent="0.25">
      <c r="A3" s="250" t="s">
        <v>85</v>
      </c>
      <c r="B3" s="250"/>
      <c r="C3" s="251"/>
      <c r="D3" s="251"/>
      <c r="E3" s="251"/>
      <c r="F3" s="251"/>
      <c r="G3" s="251"/>
    </row>
    <row r="4" spans="1:7" x14ac:dyDescent="0.2">
      <c r="A4" s="137"/>
      <c r="B4" s="137"/>
      <c r="C4" s="137"/>
      <c r="D4" s="172"/>
      <c r="E4" s="172"/>
      <c r="F4" s="172"/>
      <c r="G4" s="172"/>
    </row>
    <row r="5" spans="1:7" x14ac:dyDescent="0.2">
      <c r="A5" s="137"/>
      <c r="B5" s="174"/>
      <c r="C5" s="174"/>
      <c r="D5" s="174"/>
      <c r="E5" s="174"/>
      <c r="F5" s="174"/>
      <c r="G5" s="174"/>
    </row>
    <row r="6" spans="1:7" ht="25.5" customHeight="1" x14ac:dyDescent="0.2">
      <c r="A6" s="137"/>
      <c r="B6" s="252" t="s">
        <v>176</v>
      </c>
      <c r="C6" s="252"/>
      <c r="D6" s="252" t="s">
        <v>167</v>
      </c>
      <c r="E6" s="252"/>
      <c r="F6" s="252" t="s">
        <v>175</v>
      </c>
      <c r="G6" s="252"/>
    </row>
    <row r="7" spans="1:7" x14ac:dyDescent="0.2">
      <c r="A7" s="137"/>
      <c r="B7" s="139" t="s">
        <v>2</v>
      </c>
      <c r="C7" s="139"/>
      <c r="D7" s="139" t="s">
        <v>2</v>
      </c>
      <c r="E7" s="139"/>
      <c r="F7" s="139" t="s">
        <v>2</v>
      </c>
      <c r="G7" s="139"/>
    </row>
    <row r="8" spans="1:7" ht="12.75" customHeight="1" x14ac:dyDescent="0.2">
      <c r="A8" s="140" t="s">
        <v>86</v>
      </c>
      <c r="B8" s="141"/>
      <c r="C8" s="141"/>
      <c r="D8" s="141"/>
      <c r="E8" s="141"/>
      <c r="F8" s="141"/>
      <c r="G8" s="141"/>
    </row>
    <row r="9" spans="1:7" ht="12.75" customHeight="1" x14ac:dyDescent="0.2">
      <c r="A9" s="142" t="s">
        <v>87</v>
      </c>
      <c r="B9" s="132">
        <v>19.520508339999999</v>
      </c>
      <c r="C9" s="132"/>
      <c r="D9" s="132">
        <v>21.48596483</v>
      </c>
      <c r="E9" s="132"/>
      <c r="F9" s="132">
        <v>19.473362850000001</v>
      </c>
      <c r="G9" s="132"/>
    </row>
    <row r="10" spans="1:7" ht="12.75" customHeight="1" x14ac:dyDescent="0.2">
      <c r="A10" s="142"/>
      <c r="B10" s="129"/>
      <c r="C10" s="129"/>
      <c r="D10" s="129"/>
      <c r="E10" s="129"/>
      <c r="F10" s="129"/>
      <c r="G10" s="129"/>
    </row>
    <row r="11" spans="1:7" ht="12.75" customHeight="1" x14ac:dyDescent="0.2">
      <c r="A11" s="142" t="s">
        <v>88</v>
      </c>
      <c r="B11" s="130">
        <v>231.9</v>
      </c>
      <c r="C11" s="168">
        <f>B11/B9</f>
        <v>11.879813576617135</v>
      </c>
      <c r="D11" s="130">
        <v>258.33600000000001</v>
      </c>
      <c r="E11" s="168">
        <f>D11/D9</f>
        <v>12.023476815865196</v>
      </c>
      <c r="F11" s="130">
        <v>239.88499999999999</v>
      </c>
      <c r="G11" s="168">
        <f>ROUND(F11/F9,2)</f>
        <v>12.32</v>
      </c>
    </row>
    <row r="12" spans="1:7" ht="12.75" customHeight="1" x14ac:dyDescent="0.2">
      <c r="A12" s="142" t="s">
        <v>89</v>
      </c>
      <c r="B12" s="131">
        <v>208.1</v>
      </c>
      <c r="C12" s="143">
        <f>B12/B9</f>
        <v>10.660583032746985</v>
      </c>
      <c r="D12" s="131">
        <v>209.80199999999999</v>
      </c>
      <c r="E12" s="143">
        <f>D12/D9</f>
        <v>9.7646068798856902</v>
      </c>
      <c r="F12" s="131">
        <v>209.929</v>
      </c>
      <c r="G12" s="143">
        <f>ROUND(F12/F9,2)</f>
        <v>10.78</v>
      </c>
    </row>
    <row r="13" spans="1:7" ht="12.75" customHeight="1" x14ac:dyDescent="0.2">
      <c r="A13" s="142" t="s">
        <v>90</v>
      </c>
      <c r="B13" s="132">
        <f t="shared" ref="B13:G13" si="0">B11-B12</f>
        <v>23.800000000000011</v>
      </c>
      <c r="C13" s="144">
        <f t="shared" si="0"/>
        <v>1.2192305438701503</v>
      </c>
      <c r="D13" s="132">
        <f t="shared" si="0"/>
        <v>48.53400000000002</v>
      </c>
      <c r="E13" s="144">
        <f t="shared" si="0"/>
        <v>2.2588699359795061</v>
      </c>
      <c r="F13" s="132">
        <f t="shared" si="0"/>
        <v>29.955999999999989</v>
      </c>
      <c r="G13" s="144">
        <f t="shared" si="0"/>
        <v>1.5400000000000009</v>
      </c>
    </row>
    <row r="14" spans="1:7" ht="12.75" customHeight="1" x14ac:dyDescent="0.2">
      <c r="A14" s="142"/>
      <c r="B14" s="129"/>
      <c r="C14" s="129"/>
      <c r="D14" s="129"/>
      <c r="E14" s="129"/>
      <c r="F14" s="129"/>
      <c r="G14" s="129"/>
    </row>
    <row r="15" spans="1:7" ht="12.75" customHeight="1" x14ac:dyDescent="0.2">
      <c r="A15" s="140" t="s">
        <v>91</v>
      </c>
      <c r="B15" s="141"/>
      <c r="C15" s="141"/>
      <c r="D15" s="141"/>
      <c r="E15" s="141"/>
      <c r="F15" s="141"/>
      <c r="G15" s="141"/>
    </row>
    <row r="16" spans="1:7" ht="12.75" customHeight="1" x14ac:dyDescent="0.2">
      <c r="A16" s="142" t="s">
        <v>87</v>
      </c>
      <c r="B16" s="132">
        <v>2.0886522799999998</v>
      </c>
      <c r="C16" s="129"/>
      <c r="D16" s="132">
        <v>1.8946652799999999</v>
      </c>
      <c r="E16" s="129"/>
      <c r="F16" s="132">
        <v>1.80709382</v>
      </c>
      <c r="G16" s="129"/>
    </row>
    <row r="17" spans="1:7" ht="12.75" customHeight="1" x14ac:dyDescent="0.2">
      <c r="A17" s="142"/>
      <c r="B17" s="236"/>
      <c r="C17" s="129"/>
      <c r="D17" s="129"/>
      <c r="E17" s="129"/>
      <c r="F17" s="129"/>
      <c r="G17" s="129"/>
    </row>
    <row r="18" spans="1:7" ht="12.75" customHeight="1" x14ac:dyDescent="0.2">
      <c r="A18" s="142" t="s">
        <v>88</v>
      </c>
      <c r="B18" s="130">
        <v>253.84</v>
      </c>
      <c r="C18" s="168">
        <f>B18/B16</f>
        <v>121.53291499530981</v>
      </c>
      <c r="D18" s="130">
        <v>198.471</v>
      </c>
      <c r="E18" s="168">
        <f>D18/D16</f>
        <v>104.75253972036687</v>
      </c>
      <c r="F18" s="130">
        <v>164.11600000000001</v>
      </c>
      <c r="G18" s="168">
        <f>ROUND(F18/F16,2)</f>
        <v>90.82</v>
      </c>
    </row>
    <row r="19" spans="1:7" ht="12.75" customHeight="1" x14ac:dyDescent="0.2">
      <c r="A19" s="142" t="s">
        <v>89</v>
      </c>
      <c r="B19" s="131">
        <v>156.31299999999999</v>
      </c>
      <c r="C19" s="143">
        <f>B19/B16</f>
        <v>74.839168537905223</v>
      </c>
      <c r="D19" s="131">
        <v>118.496</v>
      </c>
      <c r="E19" s="143">
        <f>D19/D16</f>
        <v>62.541917694295847</v>
      </c>
      <c r="F19" s="131">
        <v>107.514</v>
      </c>
      <c r="G19" s="143">
        <f>ROUND(F19/F16,2)</f>
        <v>59.5</v>
      </c>
    </row>
    <row r="20" spans="1:7" ht="12.75" customHeight="1" x14ac:dyDescent="0.2">
      <c r="A20" s="142" t="s">
        <v>90</v>
      </c>
      <c r="B20" s="132">
        <f>B18-B19-0.1</f>
        <v>97.427000000000021</v>
      </c>
      <c r="C20" s="144">
        <f t="shared" ref="C20:G20" si="1">C18-C19</f>
        <v>46.693746457404586</v>
      </c>
      <c r="D20" s="132">
        <f t="shared" si="1"/>
        <v>79.975000000000009</v>
      </c>
      <c r="E20" s="144">
        <f t="shared" si="1"/>
        <v>42.210622026071022</v>
      </c>
      <c r="F20" s="132">
        <f t="shared" si="1"/>
        <v>56.602000000000018</v>
      </c>
      <c r="G20" s="144">
        <f t="shared" si="1"/>
        <v>31.319999999999993</v>
      </c>
    </row>
    <row r="21" spans="1:7" ht="12.75" customHeight="1" x14ac:dyDescent="0.2">
      <c r="A21" s="140"/>
      <c r="B21" s="141"/>
      <c r="C21" s="141"/>
      <c r="D21" s="141"/>
      <c r="E21" s="141"/>
      <c r="F21" s="141"/>
      <c r="G21" s="141"/>
    </row>
    <row r="22" spans="1:7" ht="12.75" customHeight="1" x14ac:dyDescent="0.2">
      <c r="A22" s="140" t="s">
        <v>92</v>
      </c>
      <c r="B22" s="141"/>
      <c r="C22" s="141"/>
      <c r="D22" s="141"/>
      <c r="E22" s="141"/>
      <c r="F22" s="141"/>
      <c r="G22" s="141"/>
    </row>
    <row r="23" spans="1:7" ht="12.75" customHeight="1" x14ac:dyDescent="0.2">
      <c r="A23" s="142" t="s">
        <v>87</v>
      </c>
      <c r="B23" s="132">
        <v>2.3400226499999999</v>
      </c>
      <c r="C23" s="129"/>
      <c r="D23" s="132">
        <v>2.54610644</v>
      </c>
      <c r="E23" s="129"/>
      <c r="F23" s="132">
        <v>2.261949</v>
      </c>
      <c r="G23" s="129"/>
    </row>
    <row r="24" spans="1:7" ht="12.75" customHeight="1" x14ac:dyDescent="0.2">
      <c r="A24" s="142"/>
      <c r="B24" s="129"/>
      <c r="C24" s="129"/>
      <c r="D24" s="129"/>
      <c r="E24" s="129"/>
      <c r="F24" s="129"/>
      <c r="G24" s="129"/>
    </row>
    <row r="25" spans="1:7" ht="12.75" customHeight="1" x14ac:dyDescent="0.2">
      <c r="A25" s="142" t="s">
        <v>88</v>
      </c>
      <c r="B25" s="130">
        <v>81.64</v>
      </c>
      <c r="C25" s="168">
        <f>B25/B23</f>
        <v>34.888551185604982</v>
      </c>
      <c r="D25" s="130">
        <v>94.11</v>
      </c>
      <c r="E25" s="168">
        <f>D25/D23</f>
        <v>36.962319611429912</v>
      </c>
      <c r="F25" s="130">
        <v>80.147000000000006</v>
      </c>
      <c r="G25" s="168">
        <f>ROUND(F25/F23,2)</f>
        <v>35.43</v>
      </c>
    </row>
    <row r="26" spans="1:7" ht="12.75" customHeight="1" x14ac:dyDescent="0.2">
      <c r="A26" s="142" t="s">
        <v>89</v>
      </c>
      <c r="B26" s="131">
        <v>67.3</v>
      </c>
      <c r="C26" s="143">
        <f>B26/B23</f>
        <v>28.760405374708661</v>
      </c>
      <c r="D26" s="131">
        <v>70.484999999999999</v>
      </c>
      <c r="E26" s="143">
        <f>D26/D23</f>
        <v>27.683445944231618</v>
      </c>
      <c r="F26" s="131">
        <v>56.267000000000003</v>
      </c>
      <c r="G26" s="143">
        <f>ROUND(F26/F23,2)</f>
        <v>24.88</v>
      </c>
    </row>
    <row r="27" spans="1:7" ht="12.75" customHeight="1" x14ac:dyDescent="0.2">
      <c r="A27" s="142" t="s">
        <v>90</v>
      </c>
      <c r="B27" s="132">
        <f t="shared" ref="B27:G27" si="2">B25-B26</f>
        <v>14.340000000000003</v>
      </c>
      <c r="C27" s="144">
        <f t="shared" si="2"/>
        <v>6.1281458108963207</v>
      </c>
      <c r="D27" s="132">
        <f t="shared" si="2"/>
        <v>23.625</v>
      </c>
      <c r="E27" s="144">
        <f t="shared" si="2"/>
        <v>9.2788736671982939</v>
      </c>
      <c r="F27" s="132">
        <f t="shared" si="2"/>
        <v>23.880000000000003</v>
      </c>
      <c r="G27" s="144">
        <f t="shared" si="2"/>
        <v>10.55</v>
      </c>
    </row>
    <row r="28" spans="1:7" ht="12.75" customHeight="1" x14ac:dyDescent="0.2">
      <c r="A28" s="140"/>
      <c r="B28" s="141"/>
      <c r="C28" s="141"/>
      <c r="D28" s="141"/>
      <c r="E28" s="141"/>
      <c r="F28" s="141"/>
      <c r="G28" s="141"/>
    </row>
    <row r="29" spans="1:7" ht="12.75" customHeight="1" x14ac:dyDescent="0.2">
      <c r="A29" s="140" t="s">
        <v>93</v>
      </c>
      <c r="B29" s="130">
        <f>B13+B20+B27</f>
        <v>135.56700000000004</v>
      </c>
      <c r="C29" s="141"/>
      <c r="D29" s="130">
        <f>D13+D20+D27</f>
        <v>152.13400000000001</v>
      </c>
      <c r="E29" s="141"/>
      <c r="F29" s="130">
        <f>F13+F20+F27</f>
        <v>110.43800000000002</v>
      </c>
      <c r="G29" s="141"/>
    </row>
    <row r="30" spans="1:7" ht="12.75" customHeight="1" x14ac:dyDescent="0.2">
      <c r="A30" s="140"/>
      <c r="B30" s="141"/>
      <c r="C30" s="141"/>
      <c r="D30" s="141"/>
      <c r="E30" s="141"/>
      <c r="F30" s="141"/>
      <c r="G30" s="141"/>
    </row>
    <row r="31" spans="1:7" ht="12.75" customHeight="1" x14ac:dyDescent="0.2">
      <c r="A31" s="140" t="s">
        <v>8</v>
      </c>
      <c r="B31" s="132">
        <v>-26.7</v>
      </c>
      <c r="C31" s="141"/>
      <c r="D31" s="132">
        <v>-22.9</v>
      </c>
      <c r="E31" s="141"/>
      <c r="F31" s="132">
        <v>-24.4</v>
      </c>
      <c r="G31" s="141"/>
    </row>
    <row r="32" spans="1:7" ht="12.75" customHeight="1" x14ac:dyDescent="0.2">
      <c r="A32" s="140" t="s">
        <v>47</v>
      </c>
      <c r="B32" s="131">
        <v>13.7</v>
      </c>
      <c r="C32" s="141"/>
      <c r="D32" s="131">
        <v>-4.3</v>
      </c>
      <c r="E32" s="141"/>
      <c r="F32" s="131">
        <v>11.8</v>
      </c>
      <c r="G32" s="141"/>
    </row>
    <row r="33" spans="1:7" ht="12.75" customHeight="1" x14ac:dyDescent="0.2">
      <c r="A33" s="140"/>
      <c r="B33" s="141"/>
      <c r="C33" s="141"/>
      <c r="D33" s="141"/>
      <c r="E33" s="141"/>
      <c r="F33" s="141"/>
      <c r="G33" s="141"/>
    </row>
    <row r="34" spans="1:7" ht="12.75" customHeight="1" thickBot="1" x14ac:dyDescent="0.25">
      <c r="A34" s="140" t="s">
        <v>152</v>
      </c>
      <c r="B34" s="145">
        <f>SUM(B29:B32)</f>
        <v>122.56700000000004</v>
      </c>
      <c r="C34" s="141"/>
      <c r="D34" s="145">
        <f>SUM(D29:D32)</f>
        <v>124.93400000000001</v>
      </c>
      <c r="E34" s="141"/>
      <c r="F34" s="145">
        <f>SUM(F29:F32)</f>
        <v>97.838000000000008</v>
      </c>
      <c r="G34" s="141"/>
    </row>
    <row r="35" spans="1:7" ht="12.75" customHeight="1" thickTop="1" x14ac:dyDescent="0.2">
      <c r="A35" s="140"/>
      <c r="B35" s="169"/>
      <c r="C35" s="141"/>
      <c r="D35" s="141"/>
      <c r="E35" s="141"/>
      <c r="F35" s="141"/>
      <c r="G35" s="141"/>
    </row>
    <row r="36" spans="1:7" ht="12.75" customHeight="1" x14ac:dyDescent="0.2">
      <c r="A36" s="149"/>
      <c r="B36" s="141"/>
      <c r="C36" s="141"/>
      <c r="D36" s="141"/>
      <c r="E36" s="141"/>
      <c r="F36" s="141"/>
      <c r="G36" s="141"/>
    </row>
    <row r="37" spans="1:7" x14ac:dyDescent="0.2">
      <c r="A37" s="140"/>
      <c r="B37" s="150"/>
      <c r="C37" s="140"/>
      <c r="D37" s="140"/>
      <c r="E37" s="140"/>
      <c r="F37" s="140"/>
      <c r="G37" s="140"/>
    </row>
    <row r="38" spans="1:7" x14ac:dyDescent="0.2">
      <c r="A38" s="140"/>
      <c r="B38" s="140"/>
      <c r="C38" s="140"/>
      <c r="D38" s="140"/>
      <c r="E38" s="140"/>
      <c r="F38" s="140"/>
      <c r="G38" s="140"/>
    </row>
  </sheetData>
  <mergeCells count="6">
    <mergeCell ref="A1:G1"/>
    <mergeCell ref="A2:G2"/>
    <mergeCell ref="A3:G3"/>
    <mergeCell ref="B6:C6"/>
    <mergeCell ref="D6:E6"/>
    <mergeCell ref="F6:G6"/>
  </mergeCells>
  <pageMargins left="0.7" right="0.7" top="0.75" bottom="0.75" header="0.3" footer="0.3"/>
  <pageSetup scale="75" orientation="portrait" r:id="rId1"/>
  <ignoredErrors>
    <ignoredError sqref="H9:I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3"/>
  <sheetViews>
    <sheetView workbookViewId="0">
      <selection activeCell="A13" sqref="A13"/>
    </sheetView>
  </sheetViews>
  <sheetFormatPr defaultRowHeight="12.75" x14ac:dyDescent="0.2"/>
  <cols>
    <col min="1" max="1" width="59.6640625" style="138" bestFit="1" customWidth="1"/>
    <col min="2" max="6" width="20.83203125" style="138" customWidth="1"/>
    <col min="7" max="7" width="9.33203125" style="138"/>
    <col min="8" max="8" width="14.33203125" style="138" customWidth="1"/>
    <col min="9" max="16384" width="9.33203125" style="138"/>
  </cols>
  <sheetData>
    <row r="1" spans="1:9" ht="15.75" x14ac:dyDescent="0.25">
      <c r="A1" s="250" t="s">
        <v>0</v>
      </c>
      <c r="B1" s="250"/>
      <c r="C1" s="251"/>
      <c r="D1" s="251"/>
      <c r="E1" s="251"/>
      <c r="F1" s="251"/>
      <c r="G1" s="251"/>
      <c r="H1" s="254"/>
      <c r="I1" s="254"/>
    </row>
    <row r="2" spans="1:9" ht="15.75" x14ac:dyDescent="0.25">
      <c r="A2" s="250" t="s">
        <v>118</v>
      </c>
      <c r="B2" s="250"/>
      <c r="C2" s="251"/>
      <c r="D2" s="251"/>
      <c r="E2" s="251"/>
      <c r="F2" s="251"/>
      <c r="G2" s="251"/>
      <c r="H2" s="255"/>
      <c r="I2" s="251"/>
    </row>
    <row r="3" spans="1:9" ht="15.75" x14ac:dyDescent="0.25">
      <c r="A3" s="250" t="s">
        <v>85</v>
      </c>
      <c r="B3" s="250"/>
      <c r="C3" s="251"/>
      <c r="D3" s="251"/>
      <c r="E3" s="251"/>
      <c r="F3" s="251"/>
      <c r="G3" s="251"/>
      <c r="H3" s="255"/>
      <c r="I3" s="251"/>
    </row>
    <row r="4" spans="1:9" x14ac:dyDescent="0.2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2">
      <c r="A5" s="248" t="s">
        <v>46</v>
      </c>
      <c r="B5" s="245"/>
      <c r="C5" s="245"/>
      <c r="D5" s="245"/>
      <c r="E5" s="245"/>
      <c r="F5" s="245"/>
      <c r="G5" s="199"/>
      <c r="H5" s="199"/>
      <c r="I5" s="199"/>
    </row>
    <row r="6" spans="1:9" x14ac:dyDescent="0.2">
      <c r="A6" s="248" t="s">
        <v>134</v>
      </c>
      <c r="B6" s="245"/>
      <c r="C6" s="245"/>
      <c r="D6" s="245"/>
      <c r="E6" s="245"/>
      <c r="F6" s="245"/>
      <c r="G6" s="199"/>
      <c r="H6" s="199"/>
      <c r="I6" s="199"/>
    </row>
    <row r="7" spans="1:9" x14ac:dyDescent="0.2">
      <c r="A7" s="199"/>
      <c r="B7" s="199"/>
      <c r="C7" s="199"/>
      <c r="D7" s="199"/>
      <c r="E7" s="199"/>
      <c r="F7" s="199"/>
      <c r="G7" s="199"/>
      <c r="H7" s="199"/>
      <c r="I7" s="199"/>
    </row>
    <row r="8" spans="1:9" x14ac:dyDescent="0.2">
      <c r="A8" s="195" t="s">
        <v>135</v>
      </c>
      <c r="B8" s="193"/>
      <c r="C8" s="193"/>
      <c r="D8" s="193"/>
      <c r="E8" s="193"/>
      <c r="F8" s="193"/>
    </row>
    <row r="9" spans="1:9" x14ac:dyDescent="0.2">
      <c r="A9" s="253"/>
      <c r="B9" s="253"/>
      <c r="C9" s="253"/>
      <c r="D9" s="253"/>
      <c r="E9" s="253"/>
      <c r="F9" s="253"/>
    </row>
    <row r="10" spans="1:9" x14ac:dyDescent="0.2">
      <c r="A10" s="196" t="s">
        <v>136</v>
      </c>
      <c r="B10" s="196"/>
      <c r="C10" s="196"/>
      <c r="D10" s="196"/>
      <c r="E10" s="196"/>
      <c r="F10" s="196"/>
    </row>
    <row r="11" spans="1:9" x14ac:dyDescent="0.2">
      <c r="A11" s="196" t="s">
        <v>185</v>
      </c>
      <c r="B11" s="194"/>
      <c r="C11" s="194"/>
      <c r="D11" s="194"/>
      <c r="E11" s="194"/>
      <c r="F11" s="194"/>
    </row>
    <row r="12" spans="1:9" ht="12.75" customHeight="1" x14ac:dyDescent="0.2">
      <c r="A12" s="197" t="s">
        <v>192</v>
      </c>
      <c r="B12" s="198"/>
      <c r="C12" s="198"/>
      <c r="D12" s="198"/>
      <c r="E12" s="198"/>
      <c r="F12" s="198"/>
    </row>
    <row r="13" spans="1:9" x14ac:dyDescent="0.2">
      <c r="A13" s="197" t="s">
        <v>186</v>
      </c>
      <c r="B13" s="198"/>
      <c r="C13" s="198"/>
      <c r="D13" s="198"/>
      <c r="E13" s="198"/>
      <c r="F13" s="198"/>
    </row>
    <row r="14" spans="1:9" x14ac:dyDescent="0.2">
      <c r="A14" s="197" t="s">
        <v>187</v>
      </c>
      <c r="B14" s="198"/>
      <c r="C14" s="198"/>
      <c r="D14" s="198"/>
      <c r="E14" s="198"/>
      <c r="F14" s="198"/>
    </row>
    <row r="15" spans="1:9" x14ac:dyDescent="0.2">
      <c r="A15" s="197" t="s">
        <v>188</v>
      </c>
      <c r="B15" s="198"/>
      <c r="C15" s="198"/>
      <c r="D15" s="198"/>
      <c r="E15" s="198"/>
      <c r="F15" s="198"/>
    </row>
    <row r="16" spans="1:9" x14ac:dyDescent="0.2">
      <c r="A16" s="183" t="s">
        <v>189</v>
      </c>
    </row>
    <row r="18" spans="1:6" ht="30" x14ac:dyDescent="0.25">
      <c r="A18" s="175" t="s">
        <v>177</v>
      </c>
      <c r="B18" s="176" t="s">
        <v>86</v>
      </c>
      <c r="C18" s="177" t="s">
        <v>91</v>
      </c>
      <c r="D18" s="177" t="s">
        <v>92</v>
      </c>
      <c r="E18" s="177" t="s">
        <v>119</v>
      </c>
      <c r="F18" s="178" t="s">
        <v>120</v>
      </c>
    </row>
    <row r="19" spans="1:6" x14ac:dyDescent="0.2">
      <c r="A19" s="171" t="s">
        <v>14</v>
      </c>
      <c r="B19" s="179"/>
      <c r="C19" s="180"/>
      <c r="D19" s="180"/>
      <c r="E19" s="180"/>
      <c r="F19" s="180"/>
    </row>
    <row r="20" spans="1:6" x14ac:dyDescent="0.2">
      <c r="A20" s="171" t="s">
        <v>190</v>
      </c>
      <c r="B20" s="184">
        <v>236014</v>
      </c>
      <c r="C20" s="184">
        <v>302915</v>
      </c>
      <c r="D20" s="184">
        <v>106887</v>
      </c>
      <c r="E20" s="184">
        <v>5146</v>
      </c>
      <c r="F20" s="184">
        <f>SUM(B20:E20)</f>
        <v>650962</v>
      </c>
    </row>
    <row r="21" spans="1:6" ht="25.5" x14ac:dyDescent="0.2">
      <c r="A21" s="171" t="s">
        <v>121</v>
      </c>
      <c r="B21" s="184"/>
      <c r="C21" s="184"/>
      <c r="D21" s="184"/>
      <c r="E21" s="184"/>
      <c r="F21" s="184"/>
    </row>
    <row r="22" spans="1:6" ht="25.5" x14ac:dyDescent="0.2">
      <c r="A22" s="182" t="s">
        <v>122</v>
      </c>
      <c r="B22" s="228">
        <v>0</v>
      </c>
      <c r="C22" s="212">
        <v>0</v>
      </c>
      <c r="D22" s="212">
        <v>3516</v>
      </c>
      <c r="E22" s="212">
        <v>0</v>
      </c>
      <c r="F22" s="228">
        <f>SUM(B22:E22)</f>
        <v>3516</v>
      </c>
    </row>
    <row r="23" spans="1:6" ht="25.5" x14ac:dyDescent="0.2">
      <c r="A23" s="182" t="s">
        <v>123</v>
      </c>
      <c r="B23" s="228">
        <v>0</v>
      </c>
      <c r="C23" s="212">
        <v>0</v>
      </c>
      <c r="D23" s="212">
        <v>0</v>
      </c>
      <c r="E23" s="212">
        <v>5146</v>
      </c>
      <c r="F23" s="228">
        <f>SUM(B23:E23)</f>
        <v>5146</v>
      </c>
    </row>
    <row r="24" spans="1:6" x14ac:dyDescent="0.2">
      <c r="A24" s="182" t="s">
        <v>124</v>
      </c>
      <c r="B24" s="228">
        <v>4142</v>
      </c>
      <c r="C24" s="212">
        <v>49077</v>
      </c>
      <c r="D24" s="212">
        <v>21732</v>
      </c>
      <c r="E24" s="212">
        <v>0</v>
      </c>
      <c r="F24" s="228">
        <f>SUM(B24:E24)</f>
        <v>74951</v>
      </c>
    </row>
    <row r="25" spans="1:6" x14ac:dyDescent="0.2">
      <c r="A25" s="171" t="s">
        <v>125</v>
      </c>
      <c r="B25" s="213">
        <f>B20-SUM(B22:B24)</f>
        <v>231872</v>
      </c>
      <c r="C25" s="213">
        <f t="shared" ref="C25:E25" si="0">C20-SUM(C22:C24)</f>
        <v>253838</v>
      </c>
      <c r="D25" s="213">
        <f t="shared" si="0"/>
        <v>81639</v>
      </c>
      <c r="E25" s="213">
        <f t="shared" si="0"/>
        <v>0</v>
      </c>
      <c r="F25" s="213">
        <f>F20-SUM(F22:F24)</f>
        <v>567349</v>
      </c>
    </row>
    <row r="26" spans="1:6" x14ac:dyDescent="0.2">
      <c r="A26" s="171" t="s">
        <v>126</v>
      </c>
      <c r="B26" s="228">
        <v>19520.50834</v>
      </c>
      <c r="C26" s="228">
        <v>2088.6522800000002</v>
      </c>
      <c r="D26" s="228">
        <v>2340.0226499999999</v>
      </c>
      <c r="E26" s="184"/>
      <c r="F26" s="184"/>
    </row>
    <row r="27" spans="1:6" x14ac:dyDescent="0.2">
      <c r="A27" s="171" t="s">
        <v>127</v>
      </c>
      <c r="B27" s="214">
        <f>B25/B26</f>
        <v>11.878379187741993</v>
      </c>
      <c r="C27" s="214">
        <f>C25/C26</f>
        <v>121.53195744003878</v>
      </c>
      <c r="D27" s="214">
        <f t="shared" ref="D27" si="1">D25/D26</f>
        <v>34.888123839314119</v>
      </c>
      <c r="E27" s="184"/>
      <c r="F27" s="184"/>
    </row>
    <row r="28" spans="1:6" x14ac:dyDescent="0.2">
      <c r="A28" s="183"/>
      <c r="B28" s="183"/>
      <c r="C28" s="183"/>
      <c r="D28" s="183"/>
      <c r="E28" s="183"/>
      <c r="F28" s="183"/>
    </row>
    <row r="29" spans="1:6" x14ac:dyDescent="0.2">
      <c r="A29" s="183"/>
      <c r="B29" s="183"/>
      <c r="C29" s="183"/>
      <c r="D29" s="183"/>
      <c r="E29" s="183"/>
      <c r="F29" s="183"/>
    </row>
    <row r="30" spans="1:6" ht="30" x14ac:dyDescent="0.25">
      <c r="A30" s="175" t="s">
        <v>168</v>
      </c>
      <c r="B30" s="216" t="s">
        <v>86</v>
      </c>
      <c r="C30" s="217" t="s">
        <v>91</v>
      </c>
      <c r="D30" s="217" t="s">
        <v>92</v>
      </c>
      <c r="E30" s="217" t="s">
        <v>119</v>
      </c>
      <c r="F30" s="218" t="s">
        <v>120</v>
      </c>
    </row>
    <row r="31" spans="1:6" x14ac:dyDescent="0.2">
      <c r="A31" s="208" t="s">
        <v>14</v>
      </c>
      <c r="B31" s="219"/>
      <c r="C31" s="220"/>
      <c r="D31" s="220"/>
      <c r="E31" s="220"/>
      <c r="F31" s="220"/>
    </row>
    <row r="32" spans="1:6" x14ac:dyDescent="0.2">
      <c r="A32" s="208" t="s">
        <v>190</v>
      </c>
      <c r="B32" s="184">
        <f>261928-1</f>
        <v>261927</v>
      </c>
      <c r="C32" s="184">
        <v>236328</v>
      </c>
      <c r="D32" s="184">
        <v>130663</v>
      </c>
      <c r="E32" s="184">
        <v>4262</v>
      </c>
      <c r="F32" s="184">
        <f>SUM(B32:E32)</f>
        <v>633180</v>
      </c>
    </row>
    <row r="33" spans="1:6" ht="25.5" x14ac:dyDescent="0.2">
      <c r="A33" s="208" t="s">
        <v>121</v>
      </c>
      <c r="B33" s="184"/>
      <c r="C33" s="184"/>
      <c r="D33" s="184"/>
      <c r="E33" s="184"/>
      <c r="F33" s="184"/>
    </row>
    <row r="34" spans="1:6" ht="25.5" x14ac:dyDescent="0.2">
      <c r="A34" s="221" t="s">
        <v>122</v>
      </c>
      <c r="B34" s="228">
        <v>0</v>
      </c>
      <c r="C34" s="212">
        <v>0</v>
      </c>
      <c r="D34" s="212">
        <v>2522</v>
      </c>
      <c r="E34" s="212">
        <v>0</v>
      </c>
      <c r="F34" s="228">
        <f>SUM(B34:E34)</f>
        <v>2522</v>
      </c>
    </row>
    <row r="35" spans="1:6" ht="25.5" x14ac:dyDescent="0.2">
      <c r="A35" s="221" t="s">
        <v>123</v>
      </c>
      <c r="B35" s="228">
        <v>0</v>
      </c>
      <c r="C35" s="212">
        <v>0</v>
      </c>
      <c r="D35" s="212">
        <v>0</v>
      </c>
      <c r="E35" s="212">
        <v>4262</v>
      </c>
      <c r="F35" s="211">
        <f>SUM(B35:E35)</f>
        <v>4262</v>
      </c>
    </row>
    <row r="36" spans="1:6" x14ac:dyDescent="0.2">
      <c r="A36" s="221" t="s">
        <v>124</v>
      </c>
      <c r="B36" s="228">
        <v>3592</v>
      </c>
      <c r="C36" s="212">
        <v>37857</v>
      </c>
      <c r="D36" s="212">
        <v>34031</v>
      </c>
      <c r="E36" s="212">
        <v>0</v>
      </c>
      <c r="F36" s="211">
        <f>SUM(B36:E36)</f>
        <v>75480</v>
      </c>
    </row>
    <row r="37" spans="1:6" x14ac:dyDescent="0.2">
      <c r="A37" s="208" t="s">
        <v>125</v>
      </c>
      <c r="B37" s="213">
        <f>B32-SUM(B34:B36)</f>
        <v>258335</v>
      </c>
      <c r="C37" s="213">
        <f t="shared" ref="C37" si="2">C32-SUM(C34:C36)</f>
        <v>198471</v>
      </c>
      <c r="D37" s="213">
        <f t="shared" ref="D37" si="3">D32-SUM(D34:D36)</f>
        <v>94110</v>
      </c>
      <c r="E37" s="213">
        <f t="shared" ref="E37" si="4">E32-SUM(E34:E36)</f>
        <v>0</v>
      </c>
      <c r="F37" s="213">
        <f>F32-SUM(F34:F36)</f>
        <v>550916</v>
      </c>
    </row>
    <row r="38" spans="1:6" x14ac:dyDescent="0.2">
      <c r="A38" s="208" t="s">
        <v>126</v>
      </c>
      <c r="B38" s="228">
        <v>21485.964830000001</v>
      </c>
      <c r="C38" s="228">
        <v>1894.6652799999999</v>
      </c>
      <c r="D38" s="228">
        <v>2546.10644</v>
      </c>
      <c r="E38" s="184"/>
      <c r="F38" s="184"/>
    </row>
    <row r="39" spans="1:6" x14ac:dyDescent="0.2">
      <c r="A39" s="208" t="s">
        <v>127</v>
      </c>
      <c r="B39" s="214">
        <f>B37/B38</f>
        <v>12.02343027385473</v>
      </c>
      <c r="C39" s="214">
        <f t="shared" ref="C39:D39" si="5">C37/C38</f>
        <v>104.75253972036687</v>
      </c>
      <c r="D39" s="214">
        <f t="shared" si="5"/>
        <v>36.962319611429912</v>
      </c>
      <c r="E39" s="184"/>
      <c r="F39" s="184"/>
    </row>
    <row r="40" spans="1:6" x14ac:dyDescent="0.2">
      <c r="A40" s="170"/>
      <c r="B40" s="184"/>
      <c r="C40" s="184"/>
      <c r="D40" s="184"/>
      <c r="E40" s="184"/>
      <c r="F40" s="184"/>
    </row>
    <row r="41" spans="1:6" ht="15" x14ac:dyDescent="0.25">
      <c r="A41" s="185"/>
      <c r="B41" s="186"/>
      <c r="C41" s="187"/>
      <c r="D41" s="188"/>
      <c r="E41" s="188"/>
      <c r="F41" s="187"/>
    </row>
    <row r="42" spans="1:6" ht="30" x14ac:dyDescent="0.25">
      <c r="A42" s="175" t="s">
        <v>178</v>
      </c>
      <c r="B42" s="176" t="s">
        <v>86</v>
      </c>
      <c r="C42" s="177" t="s">
        <v>91</v>
      </c>
      <c r="D42" s="177" t="s">
        <v>92</v>
      </c>
      <c r="E42" s="177" t="s">
        <v>119</v>
      </c>
      <c r="F42" s="178" t="s">
        <v>120</v>
      </c>
    </row>
    <row r="43" spans="1:6" x14ac:dyDescent="0.2">
      <c r="A43" s="171" t="s">
        <v>14</v>
      </c>
      <c r="B43" s="179"/>
      <c r="C43" s="180"/>
      <c r="D43" s="180"/>
      <c r="E43" s="180"/>
      <c r="F43" s="180"/>
    </row>
    <row r="44" spans="1:6" x14ac:dyDescent="0.2">
      <c r="A44" s="171" t="s">
        <v>191</v>
      </c>
      <c r="B44" s="184">
        <v>244191</v>
      </c>
      <c r="C44" s="184">
        <v>195661</v>
      </c>
      <c r="D44" s="184">
        <v>109100</v>
      </c>
      <c r="E44" s="184">
        <v>11292</v>
      </c>
      <c r="F44" s="184">
        <f>SUM(B44:E44)</f>
        <v>560244</v>
      </c>
    </row>
    <row r="45" spans="1:6" ht="25.5" x14ac:dyDescent="0.2">
      <c r="A45" s="171" t="s">
        <v>121</v>
      </c>
      <c r="B45" s="184"/>
      <c r="C45" s="184"/>
      <c r="D45" s="184"/>
      <c r="E45" s="184"/>
      <c r="F45" s="184"/>
    </row>
    <row r="46" spans="1:6" ht="25.5" x14ac:dyDescent="0.2">
      <c r="A46" s="182" t="s">
        <v>122</v>
      </c>
      <c r="B46" s="228">
        <v>0</v>
      </c>
      <c r="C46" s="212">
        <v>0</v>
      </c>
      <c r="D46" s="212">
        <v>182</v>
      </c>
      <c r="E46" s="212">
        <v>0</v>
      </c>
      <c r="F46" s="228">
        <f>SUM(B46:E46)</f>
        <v>182</v>
      </c>
    </row>
    <row r="47" spans="1:6" ht="25.5" x14ac:dyDescent="0.2">
      <c r="A47" s="182" t="s">
        <v>123</v>
      </c>
      <c r="B47" s="228">
        <v>0</v>
      </c>
      <c r="C47" s="212">
        <v>0</v>
      </c>
      <c r="D47" s="212">
        <v>0</v>
      </c>
      <c r="E47" s="212">
        <v>11292</v>
      </c>
      <c r="F47" s="228">
        <f>SUM(B47:E47)</f>
        <v>11292</v>
      </c>
    </row>
    <row r="48" spans="1:6" x14ac:dyDescent="0.2">
      <c r="A48" s="182" t="s">
        <v>124</v>
      </c>
      <c r="B48" s="228">
        <v>4306</v>
      </c>
      <c r="C48" s="212">
        <v>31545</v>
      </c>
      <c r="D48" s="212">
        <v>28771</v>
      </c>
      <c r="E48" s="212">
        <v>0</v>
      </c>
      <c r="F48" s="228">
        <f>SUM(B48:E48)</f>
        <v>64622</v>
      </c>
    </row>
    <row r="49" spans="1:6" x14ac:dyDescent="0.2">
      <c r="A49" s="171" t="s">
        <v>125</v>
      </c>
      <c r="B49" s="213">
        <f>B44-SUM(B46:B48)</f>
        <v>239885</v>
      </c>
      <c r="C49" s="213">
        <f t="shared" ref="C49" si="6">C44-SUM(C46:C48)</f>
        <v>164116</v>
      </c>
      <c r="D49" s="213">
        <f t="shared" ref="D49" si="7">D44-SUM(D46:D48)</f>
        <v>80147</v>
      </c>
      <c r="E49" s="213">
        <f t="shared" ref="E49" si="8">E44-SUM(E46:E48)</f>
        <v>0</v>
      </c>
      <c r="F49" s="213">
        <f>F44-SUM(F46:F48)</f>
        <v>484148</v>
      </c>
    </row>
    <row r="50" spans="1:6" x14ac:dyDescent="0.2">
      <c r="A50" s="171" t="s">
        <v>126</v>
      </c>
      <c r="B50" s="229">
        <v>19473.362850000001</v>
      </c>
      <c r="C50" s="229">
        <v>1807.0938200000001</v>
      </c>
      <c r="D50" s="229">
        <v>2261.9490000000001</v>
      </c>
      <c r="E50" s="184"/>
      <c r="F50" s="184"/>
    </row>
    <row r="51" spans="1:6" x14ac:dyDescent="0.2">
      <c r="A51" s="171" t="s">
        <v>127</v>
      </c>
      <c r="B51" s="214">
        <f>B49/B50</f>
        <v>12.31862220448483</v>
      </c>
      <c r="C51" s="214">
        <f t="shared" ref="C51" si="9">C49/C50</f>
        <v>90.817642218487578</v>
      </c>
      <c r="D51" s="214">
        <f t="shared" ref="D51" si="10">D49/D50</f>
        <v>35.432717536955963</v>
      </c>
      <c r="E51" s="184"/>
      <c r="F51" s="184"/>
    </row>
    <row r="52" spans="1:6" x14ac:dyDescent="0.2">
      <c r="A52" s="171"/>
      <c r="B52" s="179"/>
      <c r="C52" s="180"/>
      <c r="D52" s="180"/>
      <c r="E52" s="180"/>
      <c r="F52" s="180"/>
    </row>
    <row r="53" spans="1:6" ht="15" x14ac:dyDescent="0.25">
      <c r="A53" s="189"/>
      <c r="B53" s="190"/>
      <c r="C53" s="191"/>
      <c r="D53" s="192"/>
      <c r="E53" s="192"/>
      <c r="F53" s="191"/>
    </row>
  </sheetData>
  <mergeCells count="6">
    <mergeCell ref="A9:F9"/>
    <mergeCell ref="A1:I1"/>
    <mergeCell ref="A2:I2"/>
    <mergeCell ref="A3:I3"/>
    <mergeCell ref="A5:F5"/>
    <mergeCell ref="A6:F6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7"/>
  <sheetViews>
    <sheetView workbookViewId="0">
      <selection activeCell="A44" sqref="A44"/>
    </sheetView>
  </sheetViews>
  <sheetFormatPr defaultRowHeight="12.75" x14ac:dyDescent="0.2"/>
  <cols>
    <col min="1" max="1" width="59.6640625" style="138" bestFit="1" customWidth="1"/>
    <col min="2" max="6" width="20.83203125" style="138" customWidth="1"/>
    <col min="7" max="7" width="9.33203125" style="138"/>
    <col min="8" max="8" width="14.33203125" style="138" customWidth="1"/>
    <col min="9" max="16384" width="9.33203125" style="138"/>
  </cols>
  <sheetData>
    <row r="1" spans="1:9" ht="15.75" x14ac:dyDescent="0.25">
      <c r="A1" s="250" t="s">
        <v>0</v>
      </c>
      <c r="B1" s="250"/>
      <c r="C1" s="251"/>
      <c r="D1" s="251"/>
      <c r="E1" s="251"/>
      <c r="F1" s="251"/>
      <c r="G1" s="251"/>
      <c r="H1" s="254"/>
      <c r="I1" s="254"/>
    </row>
    <row r="2" spans="1:9" ht="15.75" x14ac:dyDescent="0.25">
      <c r="A2" s="250" t="s">
        <v>118</v>
      </c>
      <c r="B2" s="250"/>
      <c r="C2" s="251"/>
      <c r="D2" s="251"/>
      <c r="E2" s="251"/>
      <c r="F2" s="251"/>
      <c r="G2" s="251"/>
      <c r="H2" s="255"/>
      <c r="I2" s="251"/>
    </row>
    <row r="3" spans="1:9" ht="15.75" x14ac:dyDescent="0.25">
      <c r="A3" s="250" t="s">
        <v>85</v>
      </c>
      <c r="B3" s="250"/>
      <c r="C3" s="251"/>
      <c r="D3" s="251"/>
      <c r="E3" s="251"/>
      <c r="F3" s="251"/>
      <c r="G3" s="251"/>
      <c r="H3" s="255"/>
      <c r="I3" s="251"/>
    </row>
    <row r="4" spans="1:9" x14ac:dyDescent="0.2">
      <c r="A4" s="172"/>
      <c r="B4" s="172"/>
      <c r="C4" s="172"/>
      <c r="D4" s="172"/>
      <c r="E4" s="172"/>
      <c r="F4" s="172"/>
      <c r="G4" s="172"/>
      <c r="H4" s="172"/>
      <c r="I4" s="172"/>
    </row>
    <row r="5" spans="1:9" x14ac:dyDescent="0.2">
      <c r="A5" s="195" t="s">
        <v>137</v>
      </c>
      <c r="B5" s="193"/>
      <c r="C5" s="193"/>
      <c r="D5" s="193"/>
      <c r="E5" s="193"/>
      <c r="F5" s="193"/>
    </row>
    <row r="6" spans="1:9" x14ac:dyDescent="0.2">
      <c r="A6" s="253"/>
      <c r="B6" s="253"/>
      <c r="C6" s="253"/>
      <c r="D6" s="253"/>
      <c r="E6" s="253"/>
      <c r="F6" s="253"/>
    </row>
    <row r="7" spans="1:9" x14ac:dyDescent="0.2">
      <c r="A7" s="196" t="s">
        <v>138</v>
      </c>
      <c r="B7" s="196"/>
      <c r="C7" s="196"/>
      <c r="D7" s="196"/>
      <c r="E7" s="196"/>
      <c r="F7" s="196"/>
    </row>
    <row r="8" spans="1:9" x14ac:dyDescent="0.2">
      <c r="A8" s="196" t="s">
        <v>139</v>
      </c>
      <c r="B8" s="194"/>
      <c r="C8" s="194"/>
      <c r="D8" s="194"/>
      <c r="E8" s="194"/>
      <c r="F8" s="194"/>
    </row>
    <row r="9" spans="1:9" ht="12.75" customHeight="1" x14ac:dyDescent="0.2">
      <c r="A9" s="197" t="s">
        <v>193</v>
      </c>
      <c r="B9" s="198"/>
      <c r="C9" s="198"/>
      <c r="D9" s="198"/>
      <c r="E9" s="198"/>
      <c r="F9" s="198"/>
    </row>
    <row r="10" spans="1:9" x14ac:dyDescent="0.2">
      <c r="A10" s="197" t="s">
        <v>194</v>
      </c>
      <c r="B10" s="198"/>
      <c r="C10" s="198"/>
      <c r="D10" s="198"/>
      <c r="E10" s="198"/>
      <c r="F10" s="198"/>
    </row>
    <row r="11" spans="1:9" x14ac:dyDescent="0.2">
      <c r="A11" s="197" t="s">
        <v>195</v>
      </c>
      <c r="B11" s="198"/>
      <c r="C11" s="198"/>
      <c r="D11" s="198"/>
      <c r="E11" s="198"/>
      <c r="F11" s="198"/>
    </row>
    <row r="12" spans="1:9" x14ac:dyDescent="0.2">
      <c r="A12" s="197" t="s">
        <v>196</v>
      </c>
      <c r="B12" s="198"/>
      <c r="C12" s="198"/>
      <c r="D12" s="198"/>
      <c r="E12" s="198"/>
      <c r="F12" s="198"/>
    </row>
    <row r="15" spans="1:9" ht="30" x14ac:dyDescent="0.25">
      <c r="A15" s="175" t="str">
        <f>'NON-GAAP Sales'!A18</f>
        <v>Quarter ended December 31, 2018</v>
      </c>
      <c r="B15" s="176" t="s">
        <v>86</v>
      </c>
      <c r="C15" s="177" t="s">
        <v>91</v>
      </c>
      <c r="D15" s="177" t="s">
        <v>92</v>
      </c>
      <c r="E15" s="177" t="s">
        <v>119</v>
      </c>
      <c r="F15" s="178" t="s">
        <v>120</v>
      </c>
    </row>
    <row r="16" spans="1:9" x14ac:dyDescent="0.2">
      <c r="A16" s="173" t="s">
        <v>14</v>
      </c>
      <c r="B16" s="179"/>
      <c r="C16" s="180"/>
      <c r="D16" s="180"/>
      <c r="E16" s="180"/>
      <c r="F16" s="180"/>
    </row>
    <row r="17" spans="1:6" ht="25.5" x14ac:dyDescent="0.2">
      <c r="A17" s="173" t="s">
        <v>197</v>
      </c>
      <c r="B17" s="184">
        <v>212434</v>
      </c>
      <c r="C17" s="184">
        <v>205390</v>
      </c>
      <c r="D17" s="184">
        <v>89040</v>
      </c>
      <c r="E17" s="184">
        <v>7141</v>
      </c>
      <c r="F17" s="184">
        <f>SUM(B17:E17)</f>
        <v>514005</v>
      </c>
    </row>
    <row r="18" spans="1:6" ht="25.5" x14ac:dyDescent="0.2">
      <c r="A18" s="173" t="s">
        <v>128</v>
      </c>
      <c r="B18" s="184"/>
      <c r="C18" s="184"/>
      <c r="D18" s="184"/>
      <c r="E18" s="184"/>
      <c r="F18" s="184"/>
    </row>
    <row r="19" spans="1:6" ht="25.5" x14ac:dyDescent="0.2">
      <c r="A19" s="182" t="s">
        <v>129</v>
      </c>
      <c r="B19" s="228">
        <v>120</v>
      </c>
      <c r="C19" s="212">
        <v>0</v>
      </c>
      <c r="D19" s="212">
        <v>0</v>
      </c>
      <c r="E19" s="212">
        <v>0</v>
      </c>
      <c r="F19" s="228">
        <f>SUM(B19:E19)</f>
        <v>120</v>
      </c>
    </row>
    <row r="20" spans="1:6" x14ac:dyDescent="0.2">
      <c r="A20" s="182" t="s">
        <v>124</v>
      </c>
      <c r="B20" s="228">
        <f>'NON-GAAP Sales'!B24</f>
        <v>4142</v>
      </c>
      <c r="C20" s="228">
        <f>'NON-GAAP Sales'!C24</f>
        <v>49077</v>
      </c>
      <c r="D20" s="228">
        <f>'NON-GAAP Sales'!D24</f>
        <v>21732</v>
      </c>
      <c r="E20" s="228">
        <f>'NON-GAAP Sales'!E24</f>
        <v>0</v>
      </c>
      <c r="F20" s="228">
        <f t="shared" ref="F20:F22" si="0">SUM(B20:E20)</f>
        <v>74951</v>
      </c>
    </row>
    <row r="21" spans="1:6" ht="25.5" x14ac:dyDescent="0.2">
      <c r="A21" s="182" t="s">
        <v>130</v>
      </c>
      <c r="B21" s="228">
        <v>0</v>
      </c>
      <c r="C21" s="212">
        <v>0</v>
      </c>
      <c r="D21" s="212">
        <v>0</v>
      </c>
      <c r="E21" s="212">
        <v>4746</v>
      </c>
      <c r="F21" s="228">
        <f t="shared" si="0"/>
        <v>4746</v>
      </c>
    </row>
    <row r="22" spans="1:6" x14ac:dyDescent="0.2">
      <c r="A22" s="182" t="s">
        <v>131</v>
      </c>
      <c r="B22" s="228">
        <v>0</v>
      </c>
      <c r="C22" s="212">
        <v>0</v>
      </c>
      <c r="D22" s="212">
        <v>0</v>
      </c>
      <c r="E22" s="228">
        <v>2395</v>
      </c>
      <c r="F22" s="228">
        <f t="shared" si="0"/>
        <v>2395</v>
      </c>
    </row>
    <row r="23" spans="1:6" ht="13.5" thickBot="1" x14ac:dyDescent="0.25">
      <c r="A23" s="173" t="s">
        <v>132</v>
      </c>
      <c r="B23" s="215">
        <f>B17-SUM(B19:B22)</f>
        <v>208172</v>
      </c>
      <c r="C23" s="215">
        <f t="shared" ref="C23" si="1">C17-SUM(C19:C22)</f>
        <v>156313</v>
      </c>
      <c r="D23" s="215">
        <f t="shared" ref="D23" si="2">D17-SUM(D19:D22)</f>
        <v>67308</v>
      </c>
      <c r="E23" s="215">
        <f t="shared" ref="E23" si="3">E17-SUM(E19:E22)</f>
        <v>0</v>
      </c>
      <c r="F23" s="215">
        <f t="shared" ref="F23" si="4">F17-SUM(F19:F22)</f>
        <v>431793</v>
      </c>
    </row>
    <row r="24" spans="1:6" ht="13.5" thickTop="1" x14ac:dyDescent="0.2">
      <c r="A24" s="173" t="s">
        <v>126</v>
      </c>
      <c r="B24" s="228">
        <f>'NON-GAAP Sales'!B26</f>
        <v>19520.50834</v>
      </c>
      <c r="C24" s="228">
        <f>'NON-GAAP Sales'!C26</f>
        <v>2088.6522800000002</v>
      </c>
      <c r="D24" s="228">
        <f>'NON-GAAP Sales'!D26</f>
        <v>2340.0226499999999</v>
      </c>
      <c r="E24" s="184"/>
      <c r="F24" s="184"/>
    </row>
    <row r="25" spans="1:6" x14ac:dyDescent="0.2">
      <c r="A25" s="173" t="s">
        <v>133</v>
      </c>
      <c r="B25" s="214">
        <f>B23/B24</f>
        <v>10.664271461283063</v>
      </c>
      <c r="C25" s="214">
        <f>C23/C24</f>
        <v>74.839168537905209</v>
      </c>
      <c r="D25" s="214">
        <f>D23/D24</f>
        <v>28.763824145035521</v>
      </c>
      <c r="E25" s="184"/>
      <c r="F25" s="184"/>
    </row>
    <row r="26" spans="1:6" x14ac:dyDescent="0.2">
      <c r="A26" s="173"/>
      <c r="B26" s="181"/>
      <c r="C26" s="181"/>
      <c r="D26" s="181"/>
      <c r="E26" s="181"/>
      <c r="F26" s="181"/>
    </row>
    <row r="27" spans="1:6" ht="15" x14ac:dyDescent="0.25">
      <c r="A27" s="189"/>
      <c r="B27" s="190"/>
      <c r="C27" s="191"/>
      <c r="D27" s="190"/>
      <c r="E27" s="192"/>
      <c r="F27" s="191"/>
    </row>
    <row r="28" spans="1:6" ht="30" x14ac:dyDescent="0.25">
      <c r="A28" s="175" t="str">
        <f>'NON-GAAP Sales'!A30</f>
        <v>Quarter ended September 30, 2018</v>
      </c>
      <c r="B28" s="176" t="s">
        <v>86</v>
      </c>
      <c r="C28" s="177" t="s">
        <v>91</v>
      </c>
      <c r="D28" s="177" t="s">
        <v>92</v>
      </c>
      <c r="E28" s="177" t="s">
        <v>119</v>
      </c>
      <c r="F28" s="178" t="s">
        <v>120</v>
      </c>
    </row>
    <row r="29" spans="1:6" x14ac:dyDescent="0.2">
      <c r="A29" s="173" t="s">
        <v>14</v>
      </c>
      <c r="B29" s="179"/>
      <c r="C29" s="180"/>
      <c r="D29" s="180"/>
      <c r="E29" s="180"/>
      <c r="F29" s="180"/>
    </row>
    <row r="30" spans="1:6" ht="25.5" x14ac:dyDescent="0.2">
      <c r="A30" s="173" t="s">
        <v>197</v>
      </c>
      <c r="B30" s="184">
        <f>214922-1</f>
        <v>214921</v>
      </c>
      <c r="C30" s="184">
        <v>156353</v>
      </c>
      <c r="D30" s="184">
        <v>104516</v>
      </c>
      <c r="E30" s="184">
        <v>6239</v>
      </c>
      <c r="F30" s="184">
        <f>SUM(B30:E30)</f>
        <v>482029</v>
      </c>
    </row>
    <row r="31" spans="1:6" ht="25.5" x14ac:dyDescent="0.2">
      <c r="A31" s="173" t="s">
        <v>128</v>
      </c>
      <c r="B31" s="184"/>
      <c r="C31" s="184"/>
      <c r="D31" s="184"/>
      <c r="E31" s="184"/>
      <c r="F31" s="184"/>
    </row>
    <row r="32" spans="1:6" ht="25.5" x14ac:dyDescent="0.2">
      <c r="A32" s="182" t="s">
        <v>129</v>
      </c>
      <c r="B32" s="228">
        <v>1528</v>
      </c>
      <c r="C32" s="212">
        <v>0</v>
      </c>
      <c r="D32" s="212">
        <v>0</v>
      </c>
      <c r="E32" s="212">
        <v>0</v>
      </c>
      <c r="F32" s="211">
        <f>SUM(B32:E32)</f>
        <v>1528</v>
      </c>
    </row>
    <row r="33" spans="1:6" x14ac:dyDescent="0.2">
      <c r="A33" s="182" t="s">
        <v>124</v>
      </c>
      <c r="B33" s="229">
        <f>'NON-GAAP Sales'!B36</f>
        <v>3592</v>
      </c>
      <c r="C33" s="229">
        <f>'NON-GAAP Sales'!C36</f>
        <v>37857</v>
      </c>
      <c r="D33" s="229">
        <f>'NON-GAAP Sales'!D36</f>
        <v>34031</v>
      </c>
      <c r="E33" s="229">
        <f>'NON-GAAP Sales'!E36</f>
        <v>0</v>
      </c>
      <c r="F33" s="211">
        <f t="shared" ref="F33:F35" si="5">SUM(B33:E33)</f>
        <v>75480</v>
      </c>
    </row>
    <row r="34" spans="1:6" ht="25.5" x14ac:dyDescent="0.2">
      <c r="A34" s="182" t="s">
        <v>130</v>
      </c>
      <c r="B34" s="228">
        <v>0</v>
      </c>
      <c r="C34" s="212">
        <v>0</v>
      </c>
      <c r="D34" s="212">
        <v>0</v>
      </c>
      <c r="E34" s="212">
        <v>3174</v>
      </c>
      <c r="F34" s="211">
        <f t="shared" si="5"/>
        <v>3174</v>
      </c>
    </row>
    <row r="35" spans="1:6" x14ac:dyDescent="0.2">
      <c r="A35" s="182" t="s">
        <v>131</v>
      </c>
      <c r="B35" s="228">
        <v>0</v>
      </c>
      <c r="C35" s="212">
        <v>0</v>
      </c>
      <c r="D35" s="212">
        <v>0</v>
      </c>
      <c r="E35" s="228">
        <v>3065</v>
      </c>
      <c r="F35" s="211">
        <f t="shared" si="5"/>
        <v>3065</v>
      </c>
    </row>
    <row r="36" spans="1:6" ht="13.5" thickBot="1" x14ac:dyDescent="0.25">
      <c r="A36" s="173" t="s">
        <v>132</v>
      </c>
      <c r="B36" s="215">
        <f>B30-SUM(B32:B35)</f>
        <v>209801</v>
      </c>
      <c r="C36" s="215">
        <f t="shared" ref="C36:F36" si="6">C30-SUM(C32:C35)</f>
        <v>118496</v>
      </c>
      <c r="D36" s="215">
        <f t="shared" si="6"/>
        <v>70485</v>
      </c>
      <c r="E36" s="215">
        <f t="shared" si="6"/>
        <v>0</v>
      </c>
      <c r="F36" s="215">
        <f t="shared" si="6"/>
        <v>398782</v>
      </c>
    </row>
    <row r="37" spans="1:6" ht="13.5" thickTop="1" x14ac:dyDescent="0.2">
      <c r="A37" s="173" t="s">
        <v>126</v>
      </c>
      <c r="B37" s="229">
        <f>'NON-GAAP Sales'!B38</f>
        <v>21485.964830000001</v>
      </c>
      <c r="C37" s="229">
        <f>'NON-GAAP Sales'!C38</f>
        <v>1894.6652799999999</v>
      </c>
      <c r="D37" s="229">
        <f>'NON-GAAP Sales'!D38</f>
        <v>2546.10644</v>
      </c>
      <c r="E37" s="184"/>
      <c r="F37" s="184"/>
    </row>
    <row r="38" spans="1:6" x14ac:dyDescent="0.2">
      <c r="A38" s="173" t="s">
        <v>133</v>
      </c>
      <c r="B38" s="214">
        <f>B36/B37</f>
        <v>9.7645603378752241</v>
      </c>
      <c r="C38" s="214">
        <f>C36/C37</f>
        <v>62.541917694295854</v>
      </c>
      <c r="D38" s="214">
        <f>D36/D37</f>
        <v>27.683445944231618</v>
      </c>
      <c r="E38" s="184"/>
      <c r="F38" s="184"/>
    </row>
    <row r="39" spans="1:6" x14ac:dyDescent="0.2">
      <c r="A39" s="173"/>
      <c r="B39" s="179"/>
      <c r="C39" s="180"/>
      <c r="D39" s="180"/>
      <c r="E39" s="180"/>
      <c r="F39" s="180"/>
    </row>
    <row r="40" spans="1:6" ht="15" x14ac:dyDescent="0.25">
      <c r="A40" s="189"/>
      <c r="B40" s="190"/>
      <c r="C40" s="191"/>
      <c r="D40" s="192"/>
      <c r="E40" s="192"/>
      <c r="F40" s="191"/>
    </row>
    <row r="41" spans="1:6" ht="30" x14ac:dyDescent="0.25">
      <c r="A41" s="175" t="str">
        <f>'NON-GAAP Sales'!A42</f>
        <v>Quarter ended December 31, 2017</v>
      </c>
      <c r="B41" s="176" t="s">
        <v>86</v>
      </c>
      <c r="C41" s="177" t="s">
        <v>91</v>
      </c>
      <c r="D41" s="177" t="s">
        <v>92</v>
      </c>
      <c r="E41" s="177" t="s">
        <v>119</v>
      </c>
      <c r="F41" s="178" t="s">
        <v>120</v>
      </c>
    </row>
    <row r="42" spans="1:6" x14ac:dyDescent="0.2">
      <c r="A42" s="173" t="s">
        <v>14</v>
      </c>
      <c r="B42" s="179"/>
      <c r="C42" s="180"/>
      <c r="D42" s="180"/>
      <c r="E42" s="180"/>
      <c r="F42" s="180"/>
    </row>
    <row r="43" spans="1:6" ht="25.5" x14ac:dyDescent="0.2">
      <c r="A43" s="235" t="s">
        <v>197</v>
      </c>
      <c r="B43" s="184">
        <v>214006</v>
      </c>
      <c r="C43" s="184">
        <v>139059</v>
      </c>
      <c r="D43" s="184">
        <v>85038</v>
      </c>
      <c r="E43" s="184">
        <v>13119</v>
      </c>
      <c r="F43" s="184">
        <f>SUM(B43:E43)</f>
        <v>451222</v>
      </c>
    </row>
    <row r="44" spans="1:6" ht="25.5" x14ac:dyDescent="0.2">
      <c r="A44" s="235" t="s">
        <v>128</v>
      </c>
      <c r="B44" s="184"/>
      <c r="C44" s="184"/>
      <c r="D44" s="184"/>
      <c r="E44" s="184"/>
      <c r="F44" s="184"/>
    </row>
    <row r="45" spans="1:6" ht="25.5" x14ac:dyDescent="0.2">
      <c r="A45" s="182" t="s">
        <v>129</v>
      </c>
      <c r="B45" s="228">
        <v>-229</v>
      </c>
      <c r="C45" s="212">
        <v>0</v>
      </c>
      <c r="D45" s="212">
        <v>0</v>
      </c>
      <c r="E45" s="212">
        <v>0</v>
      </c>
      <c r="F45" s="228">
        <f>SUM(B45:E45)</f>
        <v>-229</v>
      </c>
    </row>
    <row r="46" spans="1:6" x14ac:dyDescent="0.2">
      <c r="A46" s="182" t="s">
        <v>124</v>
      </c>
      <c r="B46" s="228">
        <f>'NON-GAAP Sales'!B48</f>
        <v>4306</v>
      </c>
      <c r="C46" s="228">
        <f>'NON-GAAP Sales'!C48</f>
        <v>31545</v>
      </c>
      <c r="D46" s="228">
        <f>'NON-GAAP Sales'!D48</f>
        <v>28771</v>
      </c>
      <c r="E46" s="228">
        <f>'NON-GAAP Sales'!E48</f>
        <v>0</v>
      </c>
      <c r="F46" s="228">
        <f t="shared" ref="F46:F48" si="7">SUM(B46:E46)</f>
        <v>64622</v>
      </c>
    </row>
    <row r="47" spans="1:6" ht="25.5" x14ac:dyDescent="0.2">
      <c r="A47" s="182" t="s">
        <v>130</v>
      </c>
      <c r="B47" s="228">
        <v>0</v>
      </c>
      <c r="C47" s="212">
        <v>0</v>
      </c>
      <c r="D47" s="212">
        <v>0</v>
      </c>
      <c r="E47" s="212">
        <v>11405</v>
      </c>
      <c r="F47" s="228">
        <f t="shared" si="7"/>
        <v>11405</v>
      </c>
    </row>
    <row r="48" spans="1:6" x14ac:dyDescent="0.2">
      <c r="A48" s="182" t="s">
        <v>131</v>
      </c>
      <c r="B48" s="228">
        <v>0</v>
      </c>
      <c r="C48" s="212">
        <v>0</v>
      </c>
      <c r="D48" s="212">
        <v>0</v>
      </c>
      <c r="E48" s="228">
        <v>1714</v>
      </c>
      <c r="F48" s="228">
        <f t="shared" si="7"/>
        <v>1714</v>
      </c>
    </row>
    <row r="49" spans="1:6" ht="13.5" thickBot="1" x14ac:dyDescent="0.25">
      <c r="A49" s="235" t="s">
        <v>132</v>
      </c>
      <c r="B49" s="215">
        <f>B43-SUM(B45:B48)</f>
        <v>209929</v>
      </c>
      <c r="C49" s="215">
        <f t="shared" ref="C49" si="8">C43-SUM(C45:C48)</f>
        <v>107514</v>
      </c>
      <c r="D49" s="215">
        <f t="shared" ref="D49" si="9">D43-SUM(D45:D48)</f>
        <v>56267</v>
      </c>
      <c r="E49" s="215">
        <f t="shared" ref="E49" si="10">E43-SUM(E45:E48)</f>
        <v>0</v>
      </c>
      <c r="F49" s="215">
        <f t="shared" ref="F49" si="11">F43-SUM(F45:F48)</f>
        <v>373710</v>
      </c>
    </row>
    <row r="50" spans="1:6" ht="13.5" thickTop="1" x14ac:dyDescent="0.2">
      <c r="A50" s="235" t="s">
        <v>126</v>
      </c>
      <c r="B50" s="228">
        <f>'NON-GAAP Sales'!B50</f>
        <v>19473.362850000001</v>
      </c>
      <c r="C50" s="228">
        <f>'NON-GAAP Sales'!C50</f>
        <v>1807.0938200000001</v>
      </c>
      <c r="D50" s="228">
        <f>'NON-GAAP Sales'!D50</f>
        <v>2261.9490000000001</v>
      </c>
      <c r="E50" s="184"/>
      <c r="F50" s="184"/>
    </row>
    <row r="51" spans="1:6" x14ac:dyDescent="0.2">
      <c r="A51" s="235" t="s">
        <v>133</v>
      </c>
      <c r="B51" s="214">
        <f>B49/B50</f>
        <v>10.780315737813101</v>
      </c>
      <c r="C51" s="214">
        <f t="shared" ref="C51" si="12">C49/C50</f>
        <v>59.495527465198236</v>
      </c>
      <c r="D51" s="214">
        <f t="shared" ref="D51" si="13">D49/D50</f>
        <v>24.875450330666165</v>
      </c>
      <c r="E51" s="184"/>
      <c r="F51" s="184"/>
    </row>
    <row r="52" spans="1:6" x14ac:dyDescent="0.2">
      <c r="A52" s="173"/>
      <c r="B52" s="179"/>
      <c r="C52" s="180"/>
      <c r="D52" s="180"/>
      <c r="E52" s="180"/>
      <c r="F52" s="180"/>
    </row>
    <row r="53" spans="1:6" ht="15" x14ac:dyDescent="0.25">
      <c r="A53" s="189"/>
      <c r="B53" s="190"/>
      <c r="C53" s="191"/>
      <c r="D53" s="192"/>
      <c r="E53" s="192"/>
      <c r="F53" s="191"/>
    </row>
    <row r="54" spans="1:6" x14ac:dyDescent="0.2">
      <c r="A54" s="183"/>
      <c r="B54" s="183"/>
      <c r="C54" s="183"/>
      <c r="D54" s="183"/>
      <c r="E54" s="183"/>
      <c r="F54" s="183"/>
    </row>
    <row r="55" spans="1:6" x14ac:dyDescent="0.2">
      <c r="A55" s="183"/>
      <c r="B55" s="183"/>
      <c r="C55" s="183"/>
      <c r="D55" s="183"/>
      <c r="E55" s="183"/>
      <c r="F55" s="183"/>
    </row>
    <row r="56" spans="1:6" x14ac:dyDescent="0.2">
      <c r="A56" s="183"/>
      <c r="B56" s="183"/>
      <c r="C56" s="183"/>
      <c r="D56" s="183"/>
      <c r="E56" s="183"/>
      <c r="F56" s="183"/>
    </row>
    <row r="57" spans="1:6" x14ac:dyDescent="0.2">
      <c r="A57" s="183"/>
      <c r="B57" s="183"/>
      <c r="C57" s="183"/>
      <c r="D57" s="183"/>
      <c r="E57" s="183"/>
      <c r="F57" s="183"/>
    </row>
    <row r="58" spans="1:6" x14ac:dyDescent="0.2">
      <c r="A58" s="183"/>
      <c r="B58" s="183"/>
      <c r="C58" s="183"/>
      <c r="D58" s="183"/>
      <c r="E58" s="183"/>
      <c r="F58" s="183"/>
    </row>
    <row r="59" spans="1:6" x14ac:dyDescent="0.2">
      <c r="A59" s="183"/>
      <c r="B59" s="183"/>
      <c r="C59" s="183"/>
      <c r="D59" s="183"/>
      <c r="E59" s="183"/>
      <c r="F59" s="183"/>
    </row>
    <row r="60" spans="1:6" x14ac:dyDescent="0.2">
      <c r="A60" s="183"/>
      <c r="B60" s="183"/>
      <c r="C60" s="183"/>
      <c r="D60" s="183"/>
      <c r="E60" s="183"/>
      <c r="F60" s="183"/>
    </row>
    <row r="61" spans="1:6" x14ac:dyDescent="0.2">
      <c r="A61" s="183"/>
      <c r="B61" s="183"/>
      <c r="C61" s="183"/>
      <c r="D61" s="183"/>
      <c r="E61" s="183"/>
      <c r="F61" s="183"/>
    </row>
    <row r="62" spans="1:6" x14ac:dyDescent="0.2">
      <c r="A62" s="183"/>
      <c r="B62" s="183"/>
      <c r="C62" s="183"/>
      <c r="D62" s="183"/>
      <c r="E62" s="183"/>
      <c r="F62" s="183"/>
    </row>
    <row r="63" spans="1:6" x14ac:dyDescent="0.2">
      <c r="A63" s="183"/>
      <c r="B63" s="183"/>
      <c r="C63" s="183"/>
      <c r="D63" s="183"/>
      <c r="E63" s="183"/>
      <c r="F63" s="183"/>
    </row>
    <row r="64" spans="1:6" x14ac:dyDescent="0.2">
      <c r="A64" s="183"/>
      <c r="B64" s="183"/>
      <c r="C64" s="183"/>
      <c r="D64" s="183"/>
      <c r="E64" s="183"/>
      <c r="F64" s="183"/>
    </row>
    <row r="65" spans="1:6" x14ac:dyDescent="0.2">
      <c r="A65" s="183"/>
      <c r="B65" s="183"/>
      <c r="C65" s="183"/>
      <c r="D65" s="183"/>
      <c r="E65" s="183"/>
      <c r="F65" s="183"/>
    </row>
    <row r="66" spans="1:6" x14ac:dyDescent="0.2">
      <c r="A66" s="183"/>
      <c r="B66" s="183"/>
      <c r="C66" s="183"/>
      <c r="D66" s="183"/>
      <c r="E66" s="183"/>
      <c r="F66" s="183"/>
    </row>
    <row r="67" spans="1:6" x14ac:dyDescent="0.2">
      <c r="A67" s="183"/>
      <c r="B67" s="183"/>
      <c r="C67" s="183"/>
      <c r="D67" s="183"/>
      <c r="E67" s="183"/>
      <c r="F67" s="183"/>
    </row>
    <row r="68" spans="1:6" x14ac:dyDescent="0.2">
      <c r="A68" s="183"/>
      <c r="B68" s="183"/>
      <c r="C68" s="183"/>
      <c r="D68" s="183"/>
      <c r="E68" s="183"/>
      <c r="F68" s="183"/>
    </row>
    <row r="69" spans="1:6" x14ac:dyDescent="0.2">
      <c r="A69" s="183"/>
      <c r="B69" s="183"/>
      <c r="C69" s="183"/>
      <c r="D69" s="183"/>
      <c r="E69" s="183"/>
      <c r="F69" s="183"/>
    </row>
    <row r="70" spans="1:6" x14ac:dyDescent="0.2">
      <c r="A70" s="183"/>
      <c r="B70" s="183"/>
      <c r="C70" s="183"/>
      <c r="D70" s="183"/>
      <c r="E70" s="183"/>
      <c r="F70" s="183"/>
    </row>
    <row r="71" spans="1:6" x14ac:dyDescent="0.2">
      <c r="A71" s="183"/>
      <c r="B71" s="183"/>
      <c r="C71" s="183"/>
      <c r="D71" s="183"/>
      <c r="E71" s="183"/>
      <c r="F71" s="183"/>
    </row>
    <row r="72" spans="1:6" x14ac:dyDescent="0.2">
      <c r="A72" s="183"/>
      <c r="B72" s="183"/>
      <c r="C72" s="183"/>
      <c r="D72" s="183"/>
      <c r="E72" s="183"/>
      <c r="F72" s="183"/>
    </row>
    <row r="73" spans="1:6" x14ac:dyDescent="0.2">
      <c r="A73" s="183"/>
      <c r="B73" s="183"/>
      <c r="C73" s="183"/>
      <c r="D73" s="183"/>
      <c r="E73" s="183"/>
      <c r="F73" s="183"/>
    </row>
    <row r="74" spans="1:6" x14ac:dyDescent="0.2">
      <c r="A74" s="183"/>
      <c r="B74" s="183"/>
      <c r="C74" s="183"/>
      <c r="D74" s="183"/>
      <c r="E74" s="183"/>
      <c r="F74" s="183"/>
    </row>
    <row r="75" spans="1:6" x14ac:dyDescent="0.2">
      <c r="A75" s="183"/>
      <c r="B75" s="183"/>
      <c r="C75" s="183"/>
      <c r="D75" s="183"/>
      <c r="E75" s="183"/>
      <c r="F75" s="183"/>
    </row>
    <row r="76" spans="1:6" x14ac:dyDescent="0.2">
      <c r="A76" s="183"/>
      <c r="B76" s="183"/>
      <c r="C76" s="183"/>
      <c r="D76" s="183"/>
      <c r="E76" s="183"/>
      <c r="F76" s="183"/>
    </row>
    <row r="77" spans="1:6" x14ac:dyDescent="0.2">
      <c r="A77" s="183"/>
      <c r="B77" s="183"/>
      <c r="C77" s="183"/>
      <c r="D77" s="183"/>
      <c r="E77" s="183"/>
      <c r="F77" s="183"/>
    </row>
    <row r="78" spans="1:6" x14ac:dyDescent="0.2">
      <c r="A78" s="183"/>
      <c r="B78" s="183"/>
      <c r="C78" s="183"/>
      <c r="D78" s="183"/>
      <c r="E78" s="183"/>
      <c r="F78" s="183"/>
    </row>
    <row r="79" spans="1:6" x14ac:dyDescent="0.2">
      <c r="A79" s="183"/>
      <c r="B79" s="183"/>
      <c r="C79" s="183"/>
      <c r="D79" s="183"/>
      <c r="E79" s="183"/>
      <c r="F79" s="183"/>
    </row>
    <row r="80" spans="1:6" x14ac:dyDescent="0.2">
      <c r="A80" s="183"/>
      <c r="B80" s="183"/>
      <c r="C80" s="183"/>
      <c r="D80" s="183"/>
      <c r="E80" s="183"/>
      <c r="F80" s="183"/>
    </row>
    <row r="81" spans="1:6" x14ac:dyDescent="0.2">
      <c r="A81" s="183"/>
      <c r="B81" s="183"/>
      <c r="C81" s="183"/>
      <c r="D81" s="183"/>
      <c r="E81" s="183"/>
      <c r="F81" s="183"/>
    </row>
    <row r="82" spans="1:6" x14ac:dyDescent="0.2">
      <c r="A82" s="183"/>
      <c r="B82" s="183"/>
      <c r="C82" s="183"/>
      <c r="D82" s="183"/>
      <c r="E82" s="183"/>
      <c r="F82" s="183"/>
    </row>
    <row r="83" spans="1:6" x14ac:dyDescent="0.2">
      <c r="A83" s="183"/>
      <c r="B83" s="183"/>
      <c r="C83" s="183"/>
      <c r="D83" s="183"/>
      <c r="E83" s="183"/>
      <c r="F83" s="183"/>
    </row>
    <row r="84" spans="1:6" x14ac:dyDescent="0.2">
      <c r="A84" s="183"/>
      <c r="B84" s="183"/>
      <c r="C84" s="183"/>
      <c r="D84" s="183"/>
      <c r="E84" s="183"/>
      <c r="F84" s="183"/>
    </row>
    <row r="85" spans="1:6" x14ac:dyDescent="0.2">
      <c r="A85" s="183"/>
      <c r="B85" s="183"/>
      <c r="C85" s="183"/>
      <c r="D85" s="183"/>
      <c r="E85" s="183"/>
      <c r="F85" s="183"/>
    </row>
    <row r="86" spans="1:6" x14ac:dyDescent="0.2">
      <c r="A86" s="183"/>
      <c r="B86" s="183"/>
      <c r="C86" s="183"/>
      <c r="D86" s="183"/>
      <c r="E86" s="183"/>
      <c r="F86" s="183"/>
    </row>
    <row r="87" spans="1:6" x14ac:dyDescent="0.2">
      <c r="A87" s="183"/>
      <c r="B87" s="183"/>
      <c r="C87" s="183"/>
      <c r="D87" s="183"/>
      <c r="E87" s="183"/>
      <c r="F87" s="183"/>
    </row>
    <row r="88" spans="1:6" x14ac:dyDescent="0.2">
      <c r="A88" s="183"/>
      <c r="B88" s="183"/>
      <c r="C88" s="183"/>
      <c r="D88" s="183"/>
      <c r="E88" s="183"/>
      <c r="F88" s="183"/>
    </row>
    <row r="89" spans="1:6" x14ac:dyDescent="0.2">
      <c r="A89" s="183"/>
      <c r="B89" s="183"/>
      <c r="C89" s="183"/>
      <c r="D89" s="183"/>
      <c r="E89" s="183"/>
      <c r="F89" s="183"/>
    </row>
    <row r="90" spans="1:6" x14ac:dyDescent="0.2">
      <c r="A90" s="183"/>
      <c r="B90" s="183"/>
      <c r="C90" s="183"/>
      <c r="D90" s="183"/>
      <c r="E90" s="183"/>
      <c r="F90" s="183"/>
    </row>
    <row r="91" spans="1:6" x14ac:dyDescent="0.2">
      <c r="A91" s="183"/>
      <c r="B91" s="183"/>
      <c r="C91" s="183"/>
      <c r="D91" s="183"/>
      <c r="E91" s="183"/>
      <c r="F91" s="183"/>
    </row>
    <row r="92" spans="1:6" x14ac:dyDescent="0.2">
      <c r="A92" s="183"/>
      <c r="B92" s="183"/>
      <c r="C92" s="183"/>
      <c r="D92" s="183"/>
      <c r="E92" s="183"/>
      <c r="F92" s="183"/>
    </row>
    <row r="93" spans="1:6" x14ac:dyDescent="0.2">
      <c r="A93" s="183"/>
      <c r="B93" s="183"/>
      <c r="C93" s="183"/>
      <c r="D93" s="183"/>
      <c r="E93" s="183"/>
      <c r="F93" s="183"/>
    </row>
    <row r="94" spans="1:6" x14ac:dyDescent="0.2">
      <c r="A94" s="183"/>
      <c r="B94" s="183"/>
      <c r="C94" s="183"/>
      <c r="D94" s="183"/>
      <c r="E94" s="183"/>
      <c r="F94" s="183"/>
    </row>
    <row r="95" spans="1:6" x14ac:dyDescent="0.2">
      <c r="A95" s="183"/>
      <c r="B95" s="183"/>
      <c r="C95" s="183"/>
      <c r="D95" s="183"/>
      <c r="E95" s="183"/>
      <c r="F95" s="183"/>
    </row>
    <row r="96" spans="1:6" x14ac:dyDescent="0.2">
      <c r="A96" s="183"/>
      <c r="B96" s="183"/>
      <c r="C96" s="183"/>
      <c r="D96" s="183"/>
      <c r="E96" s="183"/>
      <c r="F96" s="183"/>
    </row>
    <row r="97" spans="1:6" x14ac:dyDescent="0.2">
      <c r="A97" s="183"/>
      <c r="B97" s="183"/>
      <c r="C97" s="183"/>
      <c r="D97" s="183"/>
      <c r="E97" s="183"/>
      <c r="F97" s="183"/>
    </row>
  </sheetData>
  <mergeCells count="4">
    <mergeCell ref="A1:I1"/>
    <mergeCell ref="A2:I2"/>
    <mergeCell ref="A3:I3"/>
    <mergeCell ref="A6:F6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5"/>
  <sheetViews>
    <sheetView zoomScaleNormal="100" workbookViewId="0">
      <selection activeCell="C40" sqref="C40"/>
    </sheetView>
  </sheetViews>
  <sheetFormatPr defaultColWidth="21.5" defaultRowHeight="13.5" customHeight="1" x14ac:dyDescent="0.2"/>
  <cols>
    <col min="1" max="1" width="75.83203125" style="1" customWidth="1"/>
    <col min="2" max="3" width="17.83203125" style="1" customWidth="1"/>
    <col min="4" max="4" width="1" style="1" customWidth="1"/>
    <col min="5" max="6" width="17.83203125" style="1" customWidth="1"/>
    <col min="7" max="16384" width="21.5" style="1"/>
  </cols>
  <sheetData>
    <row r="1" spans="1:7" ht="13.5" customHeight="1" x14ac:dyDescent="0.25">
      <c r="A1" s="243" t="s">
        <v>0</v>
      </c>
      <c r="B1" s="245"/>
      <c r="C1" s="256"/>
      <c r="D1" s="256"/>
      <c r="E1" s="244"/>
      <c r="F1" s="244"/>
      <c r="G1" s="3"/>
    </row>
    <row r="2" spans="1:7" ht="13.5" customHeight="1" x14ac:dyDescent="0.25">
      <c r="A2" s="243" t="s">
        <v>45</v>
      </c>
      <c r="B2" s="245"/>
      <c r="C2" s="256"/>
      <c r="D2" s="256"/>
      <c r="E2" s="256"/>
      <c r="F2" s="245"/>
      <c r="G2" s="3"/>
    </row>
    <row r="3" spans="1:7" ht="13.5" customHeight="1" x14ac:dyDescent="0.25">
      <c r="A3" s="243" t="s">
        <v>1</v>
      </c>
      <c r="B3" s="245"/>
      <c r="C3" s="256"/>
      <c r="D3" s="256"/>
      <c r="E3" s="256"/>
      <c r="F3" s="245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4" t="s">
        <v>152</v>
      </c>
      <c r="B5" s="3"/>
      <c r="C5" s="3"/>
      <c r="D5" s="3"/>
      <c r="E5" s="3"/>
      <c r="F5" s="3"/>
      <c r="G5" s="3"/>
    </row>
    <row r="6" spans="1:7" ht="13.5" customHeight="1" x14ac:dyDescent="0.2">
      <c r="A6" s="3"/>
      <c r="B6" s="3"/>
      <c r="C6" s="3"/>
      <c r="D6" s="3"/>
      <c r="E6" s="3"/>
      <c r="F6" s="3"/>
      <c r="G6" s="3"/>
    </row>
    <row r="7" spans="1:7" ht="13.5" customHeight="1" x14ac:dyDescent="0.2">
      <c r="A7" s="248" t="s">
        <v>153</v>
      </c>
      <c r="B7" s="245"/>
      <c r="C7" s="245"/>
      <c r="D7" s="245"/>
      <c r="E7" s="245"/>
      <c r="F7" s="245"/>
      <c r="G7" s="3"/>
    </row>
    <row r="8" spans="1:7" ht="13.5" customHeight="1" x14ac:dyDescent="0.2">
      <c r="A8" s="248" t="s">
        <v>154</v>
      </c>
      <c r="B8" s="245"/>
      <c r="C8" s="245"/>
      <c r="D8" s="245"/>
      <c r="E8" s="245"/>
      <c r="F8" s="245"/>
      <c r="G8" s="3"/>
    </row>
    <row r="9" spans="1:7" ht="13.5" customHeight="1" x14ac:dyDescent="0.2">
      <c r="A9" s="241" t="s">
        <v>155</v>
      </c>
      <c r="B9" s="257"/>
      <c r="C9" s="257"/>
      <c r="D9" s="257"/>
      <c r="E9" s="257"/>
      <c r="F9" s="257"/>
      <c r="G9" s="3"/>
    </row>
    <row r="10" spans="1:7" s="154" customFormat="1" ht="13.5" customHeight="1" x14ac:dyDescent="0.2">
      <c r="A10" s="151" t="s">
        <v>112</v>
      </c>
      <c r="B10" s="152"/>
      <c r="C10" s="152"/>
      <c r="D10" s="152"/>
      <c r="E10" s="152"/>
      <c r="F10" s="152"/>
      <c r="G10" s="153"/>
    </row>
    <row r="11" spans="1:7" ht="13.5" customHeight="1" x14ac:dyDescent="0.2">
      <c r="A11" s="245"/>
      <c r="B11" s="245"/>
      <c r="C11" s="245"/>
      <c r="D11" s="245"/>
      <c r="E11" s="245"/>
      <c r="F11" s="245"/>
      <c r="G11" s="3"/>
    </row>
    <row r="12" spans="1:7" ht="13.5" customHeight="1" x14ac:dyDescent="0.2">
      <c r="A12" s="248" t="s">
        <v>156</v>
      </c>
      <c r="B12" s="245"/>
      <c r="C12" s="245"/>
      <c r="D12" s="245"/>
      <c r="E12" s="245"/>
      <c r="F12" s="245"/>
      <c r="G12" s="3"/>
    </row>
    <row r="13" spans="1:7" ht="13.5" customHeight="1" x14ac:dyDescent="0.2">
      <c r="A13" s="248" t="s">
        <v>157</v>
      </c>
      <c r="B13" s="245"/>
      <c r="C13" s="245"/>
      <c r="D13" s="245"/>
      <c r="E13" s="245"/>
      <c r="F13" s="245"/>
      <c r="G13" s="3"/>
    </row>
    <row r="14" spans="1:7" ht="13.5" customHeight="1" x14ac:dyDescent="0.2">
      <c r="A14" s="248" t="s">
        <v>83</v>
      </c>
      <c r="B14" s="245"/>
      <c r="C14" s="245"/>
      <c r="D14" s="245"/>
      <c r="E14" s="245"/>
      <c r="F14" s="245"/>
      <c r="G14" s="3"/>
    </row>
    <row r="15" spans="1:7" ht="13.5" customHeight="1" x14ac:dyDescent="0.2">
      <c r="A15" s="248" t="s">
        <v>158</v>
      </c>
      <c r="B15" s="245"/>
      <c r="C15" s="245"/>
      <c r="D15" s="245"/>
      <c r="E15" s="245"/>
      <c r="F15" s="245"/>
      <c r="G15" s="3"/>
    </row>
    <row r="16" spans="1:7" ht="13.5" customHeight="1" x14ac:dyDescent="0.2">
      <c r="A16" s="248" t="s">
        <v>102</v>
      </c>
      <c r="B16" s="245"/>
      <c r="C16" s="245"/>
      <c r="D16" s="245"/>
      <c r="E16" s="245"/>
      <c r="F16" s="245"/>
      <c r="G16" s="3"/>
    </row>
    <row r="17" spans="1:8" ht="13.5" customHeight="1" x14ac:dyDescent="0.2">
      <c r="A17" s="248" t="s">
        <v>159</v>
      </c>
      <c r="B17" s="245"/>
      <c r="C17" s="245"/>
      <c r="D17" s="245"/>
      <c r="E17" s="245"/>
      <c r="F17" s="245"/>
      <c r="G17" s="3"/>
    </row>
    <row r="18" spans="1:8" ht="13.5" customHeight="1" x14ac:dyDescent="0.2">
      <c r="A18" s="248" t="s">
        <v>160</v>
      </c>
      <c r="B18" s="245"/>
      <c r="C18" s="245"/>
      <c r="D18" s="245"/>
      <c r="E18" s="245"/>
      <c r="F18" s="245"/>
      <c r="G18" s="3"/>
    </row>
    <row r="19" spans="1:8" ht="13.5" customHeight="1" x14ac:dyDescent="0.2">
      <c r="A19" s="3"/>
      <c r="B19" s="3"/>
      <c r="C19" s="3"/>
      <c r="D19" s="3"/>
      <c r="E19" s="3"/>
      <c r="F19" s="3"/>
      <c r="G19" s="3"/>
    </row>
    <row r="20" spans="1:8" ht="13.5" customHeight="1" x14ac:dyDescent="0.2">
      <c r="A20" s="3"/>
      <c r="B20" s="242" t="s">
        <v>172</v>
      </c>
      <c r="C20" s="242"/>
      <c r="D20" s="167"/>
      <c r="E20" s="242" t="s">
        <v>174</v>
      </c>
      <c r="F20" s="242"/>
      <c r="G20" s="3"/>
    </row>
    <row r="21" spans="1:8" ht="12.75" x14ac:dyDescent="0.2">
      <c r="A21" s="3"/>
      <c r="B21" s="112">
        <v>2018</v>
      </c>
      <c r="C21" s="164">
        <v>2017</v>
      </c>
      <c r="D21" s="29"/>
      <c r="E21" s="222">
        <v>2018</v>
      </c>
      <c r="F21" s="164">
        <v>2017</v>
      </c>
      <c r="G21" s="16"/>
      <c r="H21" s="165"/>
    </row>
    <row r="22" spans="1:8" ht="13.5" customHeight="1" x14ac:dyDescent="0.2">
      <c r="A22" s="3"/>
      <c r="B22" s="258" t="s">
        <v>2</v>
      </c>
      <c r="C22" s="258"/>
      <c r="D22" s="258"/>
      <c r="E22" s="258"/>
      <c r="F22" s="258"/>
      <c r="G22" s="107"/>
      <c r="H22" s="107"/>
    </row>
    <row r="23" spans="1:8" ht="13.5" customHeight="1" x14ac:dyDescent="0.2">
      <c r="A23" s="8" t="s">
        <v>113</v>
      </c>
      <c r="B23" s="110">
        <f>'Income Statement'!B41</f>
        <v>86094</v>
      </c>
      <c r="C23" s="110">
        <f>'Income Statement'!C41</f>
        <v>81271</v>
      </c>
      <c r="D23" s="113"/>
      <c r="E23" s="110">
        <f>'Income Statement'!E41</f>
        <v>312577</v>
      </c>
      <c r="F23" s="110">
        <f>'Income Statement'!F41</f>
        <v>238450</v>
      </c>
      <c r="G23" s="3"/>
    </row>
    <row r="24" spans="1:8" ht="13.5" customHeight="1" x14ac:dyDescent="0.2">
      <c r="A24" s="7" t="s">
        <v>182</v>
      </c>
      <c r="B24" s="90">
        <f>'Income Statement'!B39</f>
        <v>-3351</v>
      </c>
      <c r="C24" s="90">
        <f>'Income Statement'!C39</f>
        <v>-34771</v>
      </c>
      <c r="D24" s="105"/>
      <c r="E24" s="90">
        <f>'Income Statement'!E39</f>
        <v>-52476</v>
      </c>
      <c r="F24" s="90">
        <f>'Income Statement'!F39</f>
        <v>-35255</v>
      </c>
      <c r="G24" s="3"/>
    </row>
    <row r="25" spans="1:8" ht="13.5" customHeight="1" x14ac:dyDescent="0.2">
      <c r="A25" s="7" t="s">
        <v>9</v>
      </c>
      <c r="B25" s="90">
        <f>-'Income Statement'!B28</f>
        <v>2691</v>
      </c>
      <c r="C25" s="90">
        <f>-'Income Statement'!C28</f>
        <v>4945</v>
      </c>
      <c r="D25" s="90"/>
      <c r="E25" s="90">
        <f>-'Income Statement'!E28</f>
        <v>13689</v>
      </c>
      <c r="F25" s="90">
        <f>-'Income Statement'!F28</f>
        <v>24256</v>
      </c>
      <c r="G25" s="3"/>
    </row>
    <row r="26" spans="1:8" ht="13.5" customHeight="1" x14ac:dyDescent="0.2">
      <c r="A26" s="7" t="s">
        <v>6</v>
      </c>
      <c r="B26" s="90">
        <f>'Income Statement'!B14</f>
        <v>27536</v>
      </c>
      <c r="C26" s="90">
        <f>'Income Statement'!C14</f>
        <v>27928</v>
      </c>
      <c r="D26" s="105"/>
      <c r="E26" s="90">
        <f>'Income Statement'!E14</f>
        <v>119563</v>
      </c>
      <c r="F26" s="90">
        <f>'Income Statement'!F14</f>
        <v>122464</v>
      </c>
      <c r="G26" s="3"/>
    </row>
    <row r="27" spans="1:8" s="97" customFormat="1" ht="13.5" customHeight="1" x14ac:dyDescent="0.2">
      <c r="A27" s="7" t="s">
        <v>80</v>
      </c>
      <c r="B27" s="90">
        <f>'Income Statement'!B15</f>
        <v>6993</v>
      </c>
      <c r="C27" s="90">
        <f>'Income Statement'!C15</f>
        <v>7383</v>
      </c>
      <c r="D27" s="105"/>
      <c r="E27" s="90">
        <f>'Income Statement'!E15</f>
        <v>27970</v>
      </c>
      <c r="F27" s="90">
        <f>'Income Statement'!F15</f>
        <v>30209</v>
      </c>
      <c r="G27" s="83"/>
    </row>
    <row r="28" spans="1:8" ht="13.5" customHeight="1" x14ac:dyDescent="0.2">
      <c r="A28" s="7" t="s">
        <v>82</v>
      </c>
      <c r="B28" s="90">
        <f>'Income Statement'!B16</f>
        <v>1567</v>
      </c>
      <c r="C28" s="90">
        <f>'Income Statement'!C16</f>
        <v>11082</v>
      </c>
      <c r="D28" s="105"/>
      <c r="E28" s="90">
        <f>'Income Statement'!E16</f>
        <v>11107</v>
      </c>
      <c r="F28" s="90">
        <f>'Income Statement'!F16</f>
        <v>53985</v>
      </c>
      <c r="G28" s="3"/>
    </row>
    <row r="29" spans="1:8" s="232" customFormat="1" ht="13.5" customHeight="1" x14ac:dyDescent="0.2">
      <c r="A29" s="7" t="s">
        <v>169</v>
      </c>
      <c r="B29" s="90">
        <f>'Income Statement'!B19</f>
        <v>0</v>
      </c>
      <c r="C29" s="90">
        <f>'Income Statement'!C19</f>
        <v>277</v>
      </c>
      <c r="D29" s="105"/>
      <c r="E29" s="90">
        <f>'Income Statement'!E19</f>
        <v>0</v>
      </c>
      <c r="F29" s="90">
        <f>'Income Statement'!F19</f>
        <v>-21297</v>
      </c>
      <c r="G29" s="231"/>
    </row>
    <row r="30" spans="1:8" s="210" customFormat="1" ht="13.5" customHeight="1" x14ac:dyDescent="0.2">
      <c r="A30" s="7" t="s">
        <v>148</v>
      </c>
      <c r="B30" s="90">
        <f>-'Income Statement'!B33</f>
        <v>996</v>
      </c>
      <c r="C30" s="90">
        <f>-'Income Statement'!C33</f>
        <v>166</v>
      </c>
      <c r="D30" s="105"/>
      <c r="E30" s="90">
        <f>-'Income Statement'!E33</f>
        <v>3202</v>
      </c>
      <c r="F30" s="90">
        <f>-'Income Statement'!F33</f>
        <v>1940</v>
      </c>
      <c r="G30" s="209"/>
    </row>
    <row r="31" spans="1:8" s="41" customFormat="1" ht="13.5" customHeight="1" x14ac:dyDescent="0.2">
      <c r="A31" s="108" t="s">
        <v>73</v>
      </c>
      <c r="B31" s="90">
        <f>-'Income Statement'!B34</f>
        <v>0</v>
      </c>
      <c r="C31" s="90">
        <f>-'Income Statement'!C34</f>
        <v>0</v>
      </c>
      <c r="D31" s="105"/>
      <c r="E31" s="90">
        <f>-'Income Statement'!E34</f>
        <v>485</v>
      </c>
      <c r="F31" s="90">
        <f>-'Income Statement'!F34</f>
        <v>2547</v>
      </c>
      <c r="G31" s="40"/>
    </row>
    <row r="32" spans="1:8" s="78" customFormat="1" ht="13.5" customHeight="1" x14ac:dyDescent="0.2">
      <c r="A32" s="7" t="s">
        <v>74</v>
      </c>
      <c r="B32" s="63">
        <f>-'Income Statement'!B35</f>
        <v>60</v>
      </c>
      <c r="C32" s="63">
        <f>-'Income Statement'!C35</f>
        <v>-494</v>
      </c>
      <c r="D32" s="105"/>
      <c r="E32" s="63">
        <f>-'Income Statement'!E35</f>
        <v>1661</v>
      </c>
      <c r="F32" s="63">
        <f>-'Income Statement'!F35</f>
        <v>2398</v>
      </c>
      <c r="G32" s="77"/>
    </row>
    <row r="33" spans="1:7" ht="13.5" customHeight="1" x14ac:dyDescent="0.2">
      <c r="A33" s="7"/>
      <c r="B33" s="160"/>
      <c r="C33" s="92"/>
      <c r="D33" s="94"/>
      <c r="E33" s="160"/>
      <c r="F33" s="92"/>
      <c r="G33" s="3"/>
    </row>
    <row r="34" spans="1:7" ht="13.5" customHeight="1" thickBot="1" x14ac:dyDescent="0.25">
      <c r="A34" s="8" t="s">
        <v>152</v>
      </c>
      <c r="B34" s="64">
        <f>SUM(B23:B33)</f>
        <v>122586</v>
      </c>
      <c r="C34" s="64">
        <f>SUM(C23:C33)</f>
        <v>97787</v>
      </c>
      <c r="D34" s="113"/>
      <c r="E34" s="64">
        <f>SUM(E23:E33)</f>
        <v>437778</v>
      </c>
      <c r="F34" s="64">
        <f>SUM(F23:F33)</f>
        <v>419697</v>
      </c>
      <c r="G34" s="9"/>
    </row>
    <row r="35" spans="1:7" ht="13.5" customHeight="1" thickTop="1" x14ac:dyDescent="0.2">
      <c r="A35" s="3"/>
      <c r="B35" s="163"/>
      <c r="C35" s="88"/>
      <c r="D35" s="94"/>
      <c r="E35" s="93"/>
      <c r="F35" s="94"/>
      <c r="G35" s="3"/>
    </row>
  </sheetData>
  <mergeCells count="17">
    <mergeCell ref="B22:F22"/>
    <mergeCell ref="A15:F15"/>
    <mergeCell ref="A16:F16"/>
    <mergeCell ref="A18:F18"/>
    <mergeCell ref="A17:F17"/>
    <mergeCell ref="B20:C20"/>
    <mergeCell ref="E20:F20"/>
    <mergeCell ref="A14:F14"/>
    <mergeCell ref="A1:F1"/>
    <mergeCell ref="A2:F2"/>
    <mergeCell ref="A3:F3"/>
    <mergeCell ref="A13:F13"/>
    <mergeCell ref="A7:F7"/>
    <mergeCell ref="A8:F8"/>
    <mergeCell ref="A9:F9"/>
    <mergeCell ref="A11:F11"/>
    <mergeCell ref="A12:F12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Income Statement</vt:lpstr>
      <vt:lpstr>Balance Sheet</vt:lpstr>
      <vt:lpstr>Statement of Cash Flows</vt:lpstr>
      <vt:lpstr>Debt Schedule</vt:lpstr>
      <vt:lpstr>Operational Performance</vt:lpstr>
      <vt:lpstr>NON-GAAP Sales</vt:lpstr>
      <vt:lpstr>NON-GAAP COGS</vt:lpstr>
      <vt:lpstr>Reconciliation page</vt:lpstr>
      <vt:lpstr>'NON-GAAP COGS'!OLE_LINK1</vt:lpstr>
      <vt:lpstr>'NON-GAAP Sales'!OLE_LINK1</vt:lpstr>
      <vt:lpstr>'Balance Sheet'!Print_Area</vt:lpstr>
      <vt:lpstr>'Income Statement'!Print_Area</vt:lpstr>
      <vt:lpstr>'Reconciliation page'!Print_Area</vt:lpstr>
      <vt:lpstr>'Statement of Cash Flows'!Print_Area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Slone, Deck</cp:lastModifiedBy>
  <cp:lastPrinted>2018-10-11T16:14:56Z</cp:lastPrinted>
  <dcterms:created xsi:type="dcterms:W3CDTF">2015-01-20T16:57:13Z</dcterms:created>
  <dcterms:modified xsi:type="dcterms:W3CDTF">2019-02-13T21:48:00Z</dcterms:modified>
</cp:coreProperties>
</file>