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L-Accounting\stlmacct\lorson\External Financial Reporting\2017\Q4-2017\"/>
    </mc:Choice>
  </mc:AlternateContent>
  <bookViews>
    <workbookView xWindow="240" yWindow="360" windowWidth="21075" windowHeight="9540" firstSheet="3" activeTab="5"/>
  </bookViews>
  <sheets>
    <sheet name="Statements of Operations" sheetId="1" r:id="rId1"/>
    <sheet name="Balance Sheet" sheetId="2" r:id="rId2"/>
    <sheet name="Statement of Cash Flows" sheetId="4" r:id="rId3"/>
    <sheet name="Debt Schedule" sheetId="5" r:id="rId4"/>
    <sheet name="Operational Performance" sheetId="8" r:id="rId5"/>
    <sheet name="NON-GAAP Sales" sheetId="9" r:id="rId6"/>
    <sheet name="NON-GAAP COGS" sheetId="10" r:id="rId7"/>
    <sheet name="Reconciliation page" sheetId="3" r:id="rId8"/>
  </sheets>
  <definedNames>
    <definedName name="OLE_LINK1" localSheetId="6">'NON-GAAP COGS'!$A$7</definedName>
    <definedName name="OLE_LINK1" localSheetId="5">'NON-GAAP Sales'!$A$10</definedName>
    <definedName name="_xlnm.Print_Area" localSheetId="1">'Balance Sheet'!$A$1:$C$53</definedName>
    <definedName name="_xlnm.Print_Area" localSheetId="7">'Reconciliation page'!$A$5:$F$90</definedName>
    <definedName name="_xlnm.Print_Area" localSheetId="2">'Statement of Cash Flows'!$A$1:$E$58</definedName>
    <definedName name="_xlnm.Print_Area" localSheetId="0">'Statements of Operations'!$A$1:$F$55</definedName>
    <definedName name="_xlnm.Print_Titles" localSheetId="7">'Reconciliation page'!$1:$4</definedName>
  </definedNames>
  <calcPr calcId="162913"/>
</workbook>
</file>

<file path=xl/calcChain.xml><?xml version="1.0" encoding="utf-8"?>
<calcChain xmlns="http://schemas.openxmlformats.org/spreadsheetml/2006/main">
  <c r="F87" i="3" l="1"/>
  <c r="E87" i="3"/>
  <c r="F86" i="3"/>
  <c r="E86" i="3"/>
  <c r="C87" i="3"/>
  <c r="C86" i="3"/>
  <c r="C89" i="3" l="1"/>
  <c r="E89" i="3"/>
  <c r="F89" i="3"/>
  <c r="F27" i="8"/>
  <c r="G26" i="8"/>
  <c r="G25" i="8"/>
  <c r="F20" i="8"/>
  <c r="G19" i="8"/>
  <c r="G18" i="8"/>
  <c r="F13" i="8"/>
  <c r="G12" i="8"/>
  <c r="G11" i="8"/>
  <c r="E26" i="8"/>
  <c r="E25" i="8"/>
  <c r="D27" i="8"/>
  <c r="E19" i="8"/>
  <c r="E18" i="8"/>
  <c r="E12" i="8"/>
  <c r="E11" i="8"/>
  <c r="D20" i="8"/>
  <c r="D13" i="8"/>
  <c r="F29" i="8" l="1"/>
  <c r="F35" i="8" s="1"/>
  <c r="E20" i="8"/>
  <c r="E27" i="8"/>
  <c r="G27" i="8"/>
  <c r="D29" i="8"/>
  <c r="D35" i="8" s="1"/>
  <c r="G13" i="8"/>
  <c r="G20" i="8"/>
  <c r="E13" i="8"/>
  <c r="H44" i="4" l="1"/>
  <c r="H45" i="4"/>
  <c r="H46" i="4"/>
  <c r="H47" i="4"/>
  <c r="H48" i="4"/>
  <c r="H49" i="4"/>
  <c r="H50" i="4"/>
  <c r="H51" i="4"/>
  <c r="H43" i="4"/>
  <c r="H34" i="4"/>
  <c r="H35" i="4"/>
  <c r="H36" i="4"/>
  <c r="H37" i="4"/>
  <c r="H38" i="4"/>
  <c r="H39" i="4"/>
  <c r="H33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12" i="4"/>
  <c r="H10" i="4"/>
  <c r="H52" i="4"/>
  <c r="H40" i="4"/>
  <c r="G52" i="4"/>
  <c r="G40" i="4"/>
  <c r="G30" i="4"/>
  <c r="H30" i="4" l="1"/>
  <c r="H54" i="4" s="1"/>
  <c r="H57" i="4" s="1"/>
  <c r="G54" i="4"/>
  <c r="G57" i="4" s="1"/>
  <c r="H33" i="8"/>
  <c r="B33" i="8"/>
  <c r="B29" i="4" l="1"/>
  <c r="B28" i="4"/>
  <c r="B43" i="2"/>
  <c r="B34" i="2"/>
  <c r="B33" i="2"/>
  <c r="B27" i="2"/>
  <c r="F65" i="3" l="1"/>
  <c r="E65" i="3"/>
  <c r="F63" i="3"/>
  <c r="E63" i="3"/>
  <c r="C63" i="3"/>
  <c r="B63" i="3"/>
  <c r="F58" i="3"/>
  <c r="E58" i="3"/>
  <c r="E72" i="3" s="1"/>
  <c r="C58" i="3"/>
  <c r="C72" i="3" s="1"/>
  <c r="B58" i="3"/>
  <c r="B72" i="3" s="1"/>
  <c r="F49" i="3"/>
  <c r="E49" i="3"/>
  <c r="C49" i="3"/>
  <c r="B49" i="3"/>
  <c r="F32" i="3"/>
  <c r="F57" i="3" s="1"/>
  <c r="E32" i="3"/>
  <c r="E57" i="3" s="1"/>
  <c r="C32" i="3"/>
  <c r="C57" i="3" s="1"/>
  <c r="B32" i="3"/>
  <c r="B57" i="3" s="1"/>
  <c r="B71" i="3" s="1"/>
  <c r="F31" i="3"/>
  <c r="F56" i="3" s="1"/>
  <c r="E31" i="3"/>
  <c r="E56" i="3" s="1"/>
  <c r="C31" i="3"/>
  <c r="C56" i="3" s="1"/>
  <c r="B31" i="3"/>
  <c r="B56" i="3" s="1"/>
  <c r="B70" i="3" s="1"/>
  <c r="F30" i="3"/>
  <c r="F55" i="3" s="1"/>
  <c r="E30" i="3"/>
  <c r="E55" i="3" s="1"/>
  <c r="C30" i="3"/>
  <c r="C55" i="3" s="1"/>
  <c r="B30" i="3"/>
  <c r="B55" i="3" s="1"/>
  <c r="B69" i="3" s="1"/>
  <c r="F29" i="3"/>
  <c r="F54" i="3" s="1"/>
  <c r="E29" i="3"/>
  <c r="E54" i="3" s="1"/>
  <c r="C29" i="3"/>
  <c r="C54" i="3" s="1"/>
  <c r="B29" i="3"/>
  <c r="B54" i="3" s="1"/>
  <c r="B68" i="3" s="1"/>
  <c r="F28" i="3"/>
  <c r="F53" i="3" s="1"/>
  <c r="E28" i="3"/>
  <c r="E53" i="3" s="1"/>
  <c r="C28" i="3"/>
  <c r="C53" i="3" s="1"/>
  <c r="B28" i="3"/>
  <c r="B53" i="3" s="1"/>
  <c r="F27" i="3"/>
  <c r="E27" i="3"/>
  <c r="C27" i="3"/>
  <c r="B27" i="3"/>
  <c r="F26" i="3"/>
  <c r="E26" i="3"/>
  <c r="C26" i="3"/>
  <c r="B26" i="3"/>
  <c r="F25" i="3"/>
  <c r="E25" i="3"/>
  <c r="C25" i="3"/>
  <c r="B25" i="3"/>
  <c r="F24" i="3"/>
  <c r="E24" i="3"/>
  <c r="C24" i="3"/>
  <c r="B24" i="3"/>
  <c r="F23" i="3"/>
  <c r="F51" i="3" s="1"/>
  <c r="E23" i="3"/>
  <c r="E51" i="3" s="1"/>
  <c r="C23" i="3"/>
  <c r="C51" i="3" s="1"/>
  <c r="H27" i="8"/>
  <c r="B27" i="8"/>
  <c r="I26" i="8"/>
  <c r="C26" i="8"/>
  <c r="I25" i="8"/>
  <c r="I27" i="8" s="1"/>
  <c r="C25" i="8"/>
  <c r="H20" i="8"/>
  <c r="B20" i="8"/>
  <c r="I19" i="8"/>
  <c r="C19" i="8"/>
  <c r="I18" i="8"/>
  <c r="C18" i="8"/>
  <c r="C20" i="8" s="1"/>
  <c r="I13" i="8"/>
  <c r="H13" i="8"/>
  <c r="B13" i="8"/>
  <c r="I12" i="8"/>
  <c r="C12" i="8"/>
  <c r="I11" i="8"/>
  <c r="C11" i="8"/>
  <c r="D23" i="5"/>
  <c r="D22" i="5"/>
  <c r="C22" i="5"/>
  <c r="D21" i="5"/>
  <c r="C21" i="5"/>
  <c r="D20" i="5"/>
  <c r="C20" i="5"/>
  <c r="D18" i="5"/>
  <c r="D15" i="5"/>
  <c r="D13" i="5"/>
  <c r="C13" i="5"/>
  <c r="C15" i="5" s="1"/>
  <c r="E57" i="4"/>
  <c r="D57" i="4"/>
  <c r="E54" i="4"/>
  <c r="D54" i="4"/>
  <c r="E52" i="4"/>
  <c r="D52" i="4"/>
  <c r="B52" i="4"/>
  <c r="B51" i="4"/>
  <c r="E40" i="4"/>
  <c r="D40" i="4"/>
  <c r="B40" i="4"/>
  <c r="B35" i="4"/>
  <c r="E30" i="4"/>
  <c r="D30" i="4"/>
  <c r="E29" i="4"/>
  <c r="D29" i="4"/>
  <c r="B18" i="4"/>
  <c r="E14" i="4"/>
  <c r="D14" i="4"/>
  <c r="B14" i="4"/>
  <c r="E13" i="4"/>
  <c r="D13" i="4"/>
  <c r="B13" i="4"/>
  <c r="E12" i="4"/>
  <c r="D12" i="4"/>
  <c r="B12" i="4"/>
  <c r="E10" i="4"/>
  <c r="D10" i="4"/>
  <c r="F63" i="2"/>
  <c r="F60" i="2"/>
  <c r="F58" i="2"/>
  <c r="F56" i="2"/>
  <c r="C53" i="2"/>
  <c r="C52" i="2"/>
  <c r="B52" i="2"/>
  <c r="C44" i="2"/>
  <c r="C36" i="2"/>
  <c r="B36" i="2"/>
  <c r="B44" i="2" s="1"/>
  <c r="B53" i="2" s="1"/>
  <c r="C29" i="2"/>
  <c r="C28" i="2"/>
  <c r="B28" i="2"/>
  <c r="B29" i="2" s="1"/>
  <c r="C21" i="2"/>
  <c r="B21" i="2"/>
  <c r="C20" i="2"/>
  <c r="B20" i="2"/>
  <c r="E45" i="1"/>
  <c r="C45" i="1"/>
  <c r="C65" i="3" s="1"/>
  <c r="E44" i="1"/>
  <c r="F41" i="1"/>
  <c r="E41" i="1"/>
  <c r="C41" i="1"/>
  <c r="F57" i="2" s="1"/>
  <c r="B41" i="1"/>
  <c r="B23" i="3" s="1"/>
  <c r="F38" i="1"/>
  <c r="E38" i="1"/>
  <c r="C38" i="1"/>
  <c r="B38" i="1"/>
  <c r="F36" i="1"/>
  <c r="E36" i="1"/>
  <c r="C36" i="1"/>
  <c r="B36" i="1"/>
  <c r="F31" i="1"/>
  <c r="E31" i="1"/>
  <c r="C31" i="1"/>
  <c r="B31" i="1"/>
  <c r="F29" i="1"/>
  <c r="E29" i="1"/>
  <c r="C29" i="1"/>
  <c r="B29" i="1"/>
  <c r="F24" i="1"/>
  <c r="E24" i="1"/>
  <c r="C24" i="1"/>
  <c r="B24" i="1"/>
  <c r="F22" i="1"/>
  <c r="E22" i="1"/>
  <c r="C22" i="1"/>
  <c r="B22" i="1"/>
  <c r="C21" i="1"/>
  <c r="B21" i="1"/>
  <c r="F13" i="1"/>
  <c r="E35" i="3" l="1"/>
  <c r="E53" i="1" s="1"/>
  <c r="F61" i="3"/>
  <c r="C67" i="3"/>
  <c r="C68" i="3"/>
  <c r="C69" i="3"/>
  <c r="C70" i="3"/>
  <c r="C71" i="3"/>
  <c r="F35" i="3"/>
  <c r="F53" i="1" s="1"/>
  <c r="E61" i="3"/>
  <c r="E74" i="3" s="1"/>
  <c r="E67" i="3"/>
  <c r="E68" i="3"/>
  <c r="E69" i="3"/>
  <c r="E70" i="3"/>
  <c r="E71" i="3"/>
  <c r="B67" i="3"/>
  <c r="B59" i="3"/>
  <c r="E54" i="1"/>
  <c r="C61" i="3"/>
  <c r="C74" i="3" s="1"/>
  <c r="C54" i="1" s="1"/>
  <c r="C13" i="8"/>
  <c r="B29" i="8"/>
  <c r="B35" i="8" s="1"/>
  <c r="I20" i="8"/>
  <c r="H29" i="8"/>
  <c r="H35" i="8" s="1"/>
  <c r="C27" i="8"/>
  <c r="C18" i="5"/>
  <c r="C23" i="5" s="1"/>
  <c r="B35" i="3"/>
  <c r="B53" i="1" s="1"/>
  <c r="B51" i="3"/>
  <c r="B44" i="1"/>
  <c r="B45" i="1"/>
  <c r="B65" i="3" s="1"/>
  <c r="C35" i="3"/>
  <c r="C53" i="1" s="1"/>
  <c r="C44" i="1"/>
  <c r="B10" i="4"/>
  <c r="B30" i="4" s="1"/>
  <c r="B54" i="4" s="1"/>
  <c r="B57" i="4" s="1"/>
  <c r="E73" i="3" l="1"/>
  <c r="C73" i="3"/>
  <c r="B61" i="3"/>
  <c r="B74" i="3" s="1"/>
  <c r="B73" i="3" s="1"/>
  <c r="B54" i="1" l="1"/>
</calcChain>
</file>

<file path=xl/sharedStrings.xml><?xml version="1.0" encoding="utf-8"?>
<sst xmlns="http://schemas.openxmlformats.org/spreadsheetml/2006/main" count="472" uniqueCount="233">
  <si>
    <t>Arch Coal, Inc. and Subsidiaries</t>
  </si>
  <si>
    <t>Condensed Consolidated Statements of Operations</t>
  </si>
  <si>
    <t>(In thousands, except per share data)</t>
  </si>
  <si>
    <t/>
  </si>
  <si>
    <t>(Unaudited)</t>
  </si>
  <si>
    <t>Revenues</t>
  </si>
  <si>
    <t>Costs, expenses and other operating</t>
  </si>
  <si>
    <t>Cost of sales</t>
  </si>
  <si>
    <t>Depreciation, depletion and amortization</t>
  </si>
  <si>
    <t>Change in fair value of coal derivatives and coal trading activities, net</t>
  </si>
  <si>
    <t>Selling, general and administrative expenses</t>
  </si>
  <si>
    <t>Interest expense, net</t>
  </si>
  <si>
    <t>Interest expense</t>
  </si>
  <si>
    <t>Interest and investment income</t>
  </si>
  <si>
    <t>Diluted weighted average shares outstanding</t>
  </si>
  <si>
    <t>Condensed Consolidated Balance Sheets</t>
  </si>
  <si>
    <t>(In thousands)</t>
  </si>
  <si>
    <t>Assets</t>
  </si>
  <si>
    <t>Current assets</t>
  </si>
  <si>
    <t>Cash and cash equivalents</t>
  </si>
  <si>
    <t>Short term investments</t>
  </si>
  <si>
    <t>Trade accounts receivable</t>
  </si>
  <si>
    <t>Other receivables</t>
  </si>
  <si>
    <t>Inventories</t>
  </si>
  <si>
    <t>Prepaid royalties</t>
  </si>
  <si>
    <t>Coal derivative assets</t>
  </si>
  <si>
    <t>Deferred income taxes</t>
  </si>
  <si>
    <t>Other current assets</t>
  </si>
  <si>
    <t>Total current assets</t>
  </si>
  <si>
    <t>Property, plant and equipment, net</t>
  </si>
  <si>
    <t>Other assets</t>
  </si>
  <si>
    <t>Equity investments</t>
  </si>
  <si>
    <t>Other noncurrent assets</t>
  </si>
  <si>
    <t>Total other assets</t>
  </si>
  <si>
    <t>Total assets</t>
  </si>
  <si>
    <t>Accounts payable</t>
  </si>
  <si>
    <t>Accrued expenses and other current liabilities</t>
  </si>
  <si>
    <t>Current maturities of debt</t>
  </si>
  <si>
    <t>Total current liabilities</t>
  </si>
  <si>
    <t>Long-term debt</t>
  </si>
  <si>
    <t>Asset retirement obligations</t>
  </si>
  <si>
    <t>Accrued pension benefits</t>
  </si>
  <si>
    <t>Accrued postretirement benefits other than pension</t>
  </si>
  <si>
    <t>Accrued workers’ compensation</t>
  </si>
  <si>
    <t>Other noncurrent liabilities</t>
  </si>
  <si>
    <t>Common Stock</t>
  </si>
  <si>
    <t>Paid-in capital</t>
  </si>
  <si>
    <t>Reconciliation of Non-GAAP Measures</t>
  </si>
  <si>
    <t>Included in the accompanying release, we have disclosed certain non-GAAP measures as defined by Regulation G.</t>
  </si>
  <si>
    <t>Tax impact of adjustments</t>
  </si>
  <si>
    <t>Cash and cash equivalents, end of period</t>
  </si>
  <si>
    <t>Cash and cash equivalents, beginning of period</t>
  </si>
  <si>
    <t>Other</t>
  </si>
  <si>
    <t>Dividends paid</t>
  </si>
  <si>
    <t>Debt financing costs</t>
  </si>
  <si>
    <t>Net payments on other debt</t>
  </si>
  <si>
    <t>Financing activities</t>
  </si>
  <si>
    <t>Investments in and advances to affiliates, net</t>
  </si>
  <si>
    <t>Proceeds from sales of short term investments</t>
  </si>
  <si>
    <t>Purchases of short term investments</t>
  </si>
  <si>
    <t>Capital expenditures</t>
  </si>
  <si>
    <t>Investing activities</t>
  </si>
  <si>
    <t>Accounts payable, accrued expenses and other current liabilities</t>
  </si>
  <si>
    <t>Receivables</t>
  </si>
  <si>
    <t>Changes in:</t>
  </si>
  <si>
    <t>Amortization relating to financing activities</t>
  </si>
  <si>
    <t>Gains on disposals and divestitures</t>
  </si>
  <si>
    <t>Employee stock-based compensation expense</t>
  </si>
  <si>
    <t>Prepaid royalties expensed</t>
  </si>
  <si>
    <t>Operating activities</t>
  </si>
  <si>
    <t>Condensed Consolidated Statements of Cash Flows</t>
  </si>
  <si>
    <t xml:space="preserve">December 31, </t>
  </si>
  <si>
    <t>Schedule of Consolidated Debt</t>
  </si>
  <si>
    <t>December 31,</t>
  </si>
  <si>
    <t>Less: current maturities of debt</t>
  </si>
  <si>
    <t>Calculation of net debt</t>
  </si>
  <si>
    <t>Less liquid assets:</t>
  </si>
  <si>
    <t>Net debt</t>
  </si>
  <si>
    <t>Tax impact of adjustment</t>
  </si>
  <si>
    <t>Asset impairment and mine closure costs</t>
  </si>
  <si>
    <t xml:space="preserve">Restricted cash </t>
  </si>
  <si>
    <t>Asset impairment and noncash mine closure costs</t>
  </si>
  <si>
    <t>Net loss resulting from early retirement of debt and debt restructuring</t>
  </si>
  <si>
    <t>Reorganization items, net</t>
  </si>
  <si>
    <t>Debt issuance costs</t>
  </si>
  <si>
    <t>Total debt (excluding debt issuance costs)</t>
  </si>
  <si>
    <t>Non-cash bankruptcy reorganization items</t>
  </si>
  <si>
    <t>Adjusted EBITDAR</t>
  </si>
  <si>
    <t>Income (loss) from operations</t>
  </si>
  <si>
    <t>Predecessor</t>
  </si>
  <si>
    <t>Successor</t>
  </si>
  <si>
    <t xml:space="preserve">  Current liabilities</t>
  </si>
  <si>
    <t xml:space="preserve">Total liabilities </t>
  </si>
  <si>
    <t>Minimum royalty payments</t>
  </si>
  <si>
    <t>Accretion on asset retirement obligations</t>
  </si>
  <si>
    <t xml:space="preserve">Adjusted EBITDAR is defined as net income attributable to the Company before the effect of net interest expense, income taxes, depreciation, </t>
  </si>
  <si>
    <t>(A) Adjusted EBITDAR and Adjusted diluted income per common share are defined and reconciled under "Reconciliation of Non-GAAP Measures" later in this release.</t>
  </si>
  <si>
    <t>Cash provided by (used in) operating activities</t>
  </si>
  <si>
    <t>Adjusted net income (loss) and adjusted diluted income (loss) per share</t>
  </si>
  <si>
    <t>Adjusted net income (loss)</t>
  </si>
  <si>
    <t>Income (loss) before nonoperating expenses</t>
  </si>
  <si>
    <t>Basic weighted average shares outstanding</t>
  </si>
  <si>
    <t>Amortization of sales contracts, net</t>
  </si>
  <si>
    <t>Adjusted EBITDAR is not a measure of financial performance in accordance with generally accepted accounting principles, and items excluded</t>
  </si>
  <si>
    <t xml:space="preserve">from Adjusted EBITDAR are significant in understanding and assessing our financial condition. Therefore, Adjusted EBITDAR should not be </t>
  </si>
  <si>
    <t xml:space="preserve">considered in isolation, nor as an alternative to net income, income from operations, cash flows from operations or as a measure of our profitability, </t>
  </si>
  <si>
    <t xml:space="preserve">liquidity or performance under generally accepted accounting principles.  The Company uses adjusted EBITDAR to measure the operating </t>
  </si>
  <si>
    <t>Adjusted net income (loss) and adjusted diluted income (loss) per common share are adjusted for the after-tax impact of reorganization items, net</t>
  </si>
  <si>
    <t>Adjusted EBITDAR (A) (Unaudited)</t>
  </si>
  <si>
    <t>Operational Performance</t>
  </si>
  <si>
    <t>(In millions, except per ton data)</t>
  </si>
  <si>
    <t>Powder River Basin</t>
  </si>
  <si>
    <t>Tons Sold</t>
  </si>
  <si>
    <t>Segment Sales</t>
  </si>
  <si>
    <t>Segment Cash Cost of Sales</t>
  </si>
  <si>
    <t>Segment Cash Margin</t>
  </si>
  <si>
    <t>Metallurgical</t>
  </si>
  <si>
    <t>Other Thermal</t>
  </si>
  <si>
    <t>Total Segment Cash Margin</t>
  </si>
  <si>
    <t>Liquidated damages under export logistics contracts</t>
  </si>
  <si>
    <t>depletion and amortization, accretion on asset retirement obligations, amortization of sales contracts and reorganization items, net.</t>
  </si>
  <si>
    <t xml:space="preserve">Stockholders' equity </t>
  </si>
  <si>
    <t xml:space="preserve">Liabilities and Stockholders' Equity </t>
  </si>
  <si>
    <t>Income taxes, net</t>
  </si>
  <si>
    <t>Term loan due 2021 ($325.7 million face value)</t>
  </si>
  <si>
    <t>Other operating income, net</t>
  </si>
  <si>
    <t>Payments to extinguish term loan due 2021</t>
  </si>
  <si>
    <t>Proceeds from issuance of term loan due 2024</t>
  </si>
  <si>
    <t xml:space="preserve">Accumulated other comprehensive income </t>
  </si>
  <si>
    <t xml:space="preserve">Total stockholders’ equity </t>
  </si>
  <si>
    <t xml:space="preserve">Total liabilities and stockholders’ equity </t>
  </si>
  <si>
    <t xml:space="preserve">performance of its segments and allocate resources to the segments.  Furthermore, analogous measures are used by industry analysts and investors </t>
  </si>
  <si>
    <t>measures used by other companies. The table below shows how we calculate Adjusted EBITDAR.</t>
  </si>
  <si>
    <t>to evaluate our operating performance. Investors should be aware that our presentation of Adjusted EBITDAR may not be comparable to similarly titled</t>
  </si>
  <si>
    <t>Retained earnings</t>
  </si>
  <si>
    <t>Proceeds from (consideration paid for) disposals and divestitures</t>
  </si>
  <si>
    <t>Treasury stock, at cost</t>
  </si>
  <si>
    <t>Payments on term loan due 2024</t>
  </si>
  <si>
    <t>Purchases of treasury stock</t>
  </si>
  <si>
    <t>Weighted average shares outstanding</t>
  </si>
  <si>
    <t>Dividends declared per common share</t>
  </si>
  <si>
    <t>Gain on sale of Lone Mountain Processing, Inc.</t>
  </si>
  <si>
    <t>Cash provided by (used in) investing activities</t>
  </si>
  <si>
    <t>Withdrawals of restricted cash</t>
  </si>
  <si>
    <t>Beg RE</t>
  </si>
  <si>
    <t>CY Net Income</t>
  </si>
  <si>
    <t xml:space="preserve">Dividends </t>
  </si>
  <si>
    <t>Dividends accrued (RSU's)</t>
  </si>
  <si>
    <t>and are not measures of financial performance in accordance with generally accepted accounting principles.  Adjusted net income (loss) and</t>
  </si>
  <si>
    <t>adjusted diluted income (loss) per common share may also be adjusted for items that may not reflect the trend of future results.  We believe that</t>
  </si>
  <si>
    <t>indicative of the Company's core operating performance.</t>
  </si>
  <si>
    <t>Adjusted EBITDAR may also be adjusted for items that may not reflect the trend of future results by excluding transactions that are not</t>
  </si>
  <si>
    <t xml:space="preserve">adjusted net income (loss) and adjusted diluted income (loss) per common share better reflect the trend of our future results by excluding </t>
  </si>
  <si>
    <t xml:space="preserve">transactions that are not indicative of the Company's core operating performance. The adjustments made to arrive at these measures are </t>
  </si>
  <si>
    <t>significant in understanding and assessing our financial condition.  Therefore, adjusted net income (loss) and adjusted diluted income (loss) per</t>
  </si>
  <si>
    <t>accepted accounting principles.</t>
  </si>
  <si>
    <t xml:space="preserve">share should not be considered in isolation, nor as an alternative to net income (loss) or diluted income (loss) per common share under generally </t>
  </si>
  <si>
    <t>Three Months Ended December 31, 2017</t>
  </si>
  <si>
    <t>Three Months Ended 
December 31, 2017</t>
  </si>
  <si>
    <t>Twelve Months Ended 
December 31, 2017</t>
  </si>
  <si>
    <t>Twelve Months Ended December 31, 2017</t>
  </si>
  <si>
    <t>N/A</t>
  </si>
  <si>
    <t>January 1, 2016 through October 1, 2016</t>
  </si>
  <si>
    <t>October 2, 2016 through December 31, 2016</t>
  </si>
  <si>
    <t>Fresh start coal inventory adjustment</t>
  </si>
  <si>
    <t>Provision for (benefit from) income taxes</t>
  </si>
  <si>
    <t xml:space="preserve">Net income </t>
  </si>
  <si>
    <t>Net income per common share</t>
  </si>
  <si>
    <t xml:space="preserve">Basic EPS </t>
  </si>
  <si>
    <t xml:space="preserve">Diluted EPS </t>
  </si>
  <si>
    <t>Adjusted diluted income per common share (A)</t>
  </si>
  <si>
    <t>Increase (decrease) in cash and cash equivalents</t>
  </si>
  <si>
    <t xml:space="preserve">Diluted income per share </t>
  </si>
  <si>
    <t>Adjusted diluted income per share</t>
  </si>
  <si>
    <t>Income before income taxes</t>
  </si>
  <si>
    <t>Three Months  Ended            December 31, 2017</t>
  </si>
  <si>
    <t>Twelve Months Ended               December 31, 2017</t>
  </si>
  <si>
    <t>Term loan due 2024 ($297.8 million face value)</t>
  </si>
  <si>
    <t>Cash provided by (used in) financing activities</t>
  </si>
  <si>
    <t>Adjustments to reconcile to cash provided by (used in) operating activities:</t>
  </si>
  <si>
    <t>Nine Months Ended 
September 30, 2017</t>
  </si>
  <si>
    <t>`</t>
  </si>
  <si>
    <t>Nonoperating income (loss)</t>
  </si>
  <si>
    <t>Three Months  Ended            September 30, 2017</t>
  </si>
  <si>
    <t>Reconciliation of NON-GAAP Measures</t>
  </si>
  <si>
    <t>Quarter ended December 31, 2017</t>
  </si>
  <si>
    <t>Idle and Other</t>
  </si>
  <si>
    <t>Consolidated</t>
  </si>
  <si>
    <t>GAAP Revenues in the consolidated statements of operations</t>
  </si>
  <si>
    <t>Other revenues</t>
  </si>
  <si>
    <t>Coal Sales</t>
  </si>
  <si>
    <t>Less:  Adjustments to reconcile to Non-GAAP Segment coal sales revenue</t>
  </si>
  <si>
    <t>Coal risk management derivative settlements classified in "other income"</t>
  </si>
  <si>
    <t>Coal sales revenues from idled or otherwise disposed operations not included in segments</t>
  </si>
  <si>
    <t>Transportation costs</t>
  </si>
  <si>
    <t>Non-GAAP Segment coal sales revenues</t>
  </si>
  <si>
    <t>Tons sold</t>
  </si>
  <si>
    <t>Coal sales per ton sold</t>
  </si>
  <si>
    <t>Quarter ended September 30, 2017</t>
  </si>
  <si>
    <t>October 2 through December 31, 2016</t>
  </si>
  <si>
    <t>Year ended December 31, 2017</t>
  </si>
  <si>
    <t xml:space="preserve">transportation costs, and may be adjusted for other items that, due to generally accepted accounting principles, are classified in “other income” on the statement of </t>
  </si>
  <si>
    <t>GAAP Cost of sales in the consolidated statements of operations</t>
  </si>
  <si>
    <t xml:space="preserve">Less:  Adjustments to reconcile to Non-GAAP Segment cash cost of coal sales </t>
  </si>
  <si>
    <t>Diesel fuel risk management derivative settlements classified in "other income"</t>
  </si>
  <si>
    <t>Cost of coal sales from idled or otherwise disposed operations not included in segments</t>
  </si>
  <si>
    <t>Fresh start coal inventory fair value adjustment</t>
  </si>
  <si>
    <t>Other (operating overhead, certain actuarial, etc.)</t>
  </si>
  <si>
    <t>Non-GAAP Segment cash cost of coal sales</t>
  </si>
  <si>
    <t>Cost of sales in the consolidated statements of operations</t>
  </si>
  <si>
    <t>Less:  Adjustments to reconcile to Non-GAAP Segment cash cost of coal sales</t>
  </si>
  <si>
    <t>Reported segment cost of coal sales</t>
  </si>
  <si>
    <t>Cash cost per ton sold</t>
  </si>
  <si>
    <t>Free Cash Flow</t>
  </si>
  <si>
    <t>Cash used for capital expenditures</t>
  </si>
  <si>
    <t>Free cash flow is defined as cash provided by (used in) operating activities less cash used for capital expenditures.  Free cash flow is used by</t>
  </si>
  <si>
    <t>management as a measure of the Company's ability to generate excess cash flow from our core business operations.  Free cash flow should</t>
  </si>
  <si>
    <t>not be considered in isolation or as an alternative to similar measures under generally accepted accounting principles.</t>
  </si>
  <si>
    <t>Free cash flow</t>
  </si>
  <si>
    <t>The following reconciles these items to the most directly comparable GAAP measure.</t>
  </si>
  <si>
    <t xml:space="preserve">Non-GAAP Segment coal sales per ton sold   </t>
  </si>
  <si>
    <t xml:space="preserve">Non-GAAP Segment coal sales per ton sold is calculated as segment coal sales revenues divided by segment tons sold. Segment coal sales revenues are adjusted for </t>
  </si>
  <si>
    <t xml:space="preserve">accepted accounting principles. We believe segment coal sales per ton sold provides useful information to investors as it better reflects our revenue for the quality of coal </t>
  </si>
  <si>
    <t>sold and our operating results by including all income from coal sales. The adjustments made to arrive at these measures are significant in understanding and assessing</t>
  </si>
  <si>
    <t xml:space="preserve"> our financial condition. Therefore, segment coal sales revenues should not be considered in isolation, nor as an alternative to coal sales revenues under generally </t>
  </si>
  <si>
    <t xml:space="preserve">operations, but relate to price protection on the sale of coal. Segment coal sales per ton sold is not a measure of financial performance in accordance with generally </t>
  </si>
  <si>
    <t>Non-GAAP Segment cash cost per ton sold</t>
  </si>
  <si>
    <t xml:space="preserve">Non-GAAP Segment cash cost per ton sold is calculated as segment cash cost of coal sales divided by segment tons sold. Segment cash cost of coal sales is </t>
  </si>
  <si>
    <t xml:space="preserve">adjusted for transportation costs, and may be adjusted for other items that, due to generally accepted accounting principles, are classified in “other income” on the </t>
  </si>
  <si>
    <t xml:space="preserve">statement of operations, but relate directly to the costs incurred to produce coal. Segment cash cost per ton sold is not a measure of financial performance in accordance </t>
  </si>
  <si>
    <t xml:space="preserve">with generally acceptedaccounting principles. We believe segment cash cost per ton sold better reflects our controllable costs and our operating results by including all </t>
  </si>
  <si>
    <t xml:space="preserve">costs incurred to produce coal. The adjustments made to arrive at these measures are significant in understanding and assessing our financial condition. Therefore, </t>
  </si>
  <si>
    <t>segment cash cost of coal sales should not be considered in isolation, nor as an alternative to cost of sales under generally accepted accounting principles.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</si>
</sst>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_);_(&quot;$&quot;* \(#,##0\);_(&quot;$&quot;* &quot;—&quot;_);_(@_)"/>
    <numFmt numFmtId="166" formatCode="_(* #,##0_);_(* \(#,##0\);_(* &quot;-&quot;??_);_(@_)"/>
    <numFmt numFmtId="167" formatCode="_(#,##0_);_(\(#,##0\);_(&quot;—&quot;_);_(@_)"/>
    <numFmt numFmtId="168" formatCode="_(&quot;$&quot;* #,##0.00_)_%;_(&quot;$&quot;* \(#,##0.00\)_%;_(&quot;$&quot;* &quot;—&quot;_);_(@_)"/>
    <numFmt numFmtId="169" formatCode="_(&quot;$&quot;* #,##0_)_%;_(&quot;$&quot;* \(#,##0\)_%;_(&quot;$&quot;* &quot;—&quot;_);_(@_)"/>
    <numFmt numFmtId="170" formatCode="#,##0_)%;\(#,##0\)%;&quot;—&quot;\%;_(@_)"/>
    <numFmt numFmtId="171" formatCode="_(#,##0_)_%;_(\(#,##0\)_%;_(&quot;—&quot;_);_(@_)"/>
    <numFmt numFmtId="172" formatCode="_(#,##0.00_);_(\(#,##0.00\);_(&quot;—&quot;_);_(@_)"/>
    <numFmt numFmtId="173" formatCode="_(* #,##0.0_);_(* \(#,##0.0\);_(* &quot;-&quot;??_);_(@_)"/>
    <numFmt numFmtId="174" formatCode="_(&quot;$&quot;* #,##0.0_);_(&quot;$&quot;* \(#,##0.0\);_(&quot;$&quot;* &quot;-&quot;??_);_(@_)"/>
    <numFmt numFmtId="175" formatCode="#,##0.00;\(#,##0.00\)"/>
  </numFmts>
  <fonts count="26" x14ac:knownFonts="1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175" fontId="18" fillId="0" borderId="0"/>
    <xf numFmtId="0" fontId="2" fillId="0" borderId="0"/>
    <xf numFmtId="0" fontId="17" fillId="0" borderId="0"/>
    <xf numFmtId="9" fontId="17" fillId="0" borderId="0" applyFont="0" applyFill="0" applyBorder="0" applyAlignment="0" applyProtection="0"/>
    <xf numFmtId="0" fontId="1" fillId="0" borderId="0"/>
    <xf numFmtId="0" fontId="2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5" fontId="21" fillId="0" borderId="0"/>
    <xf numFmtId="0" fontId="19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22" fillId="0" borderId="0"/>
  </cellStyleXfs>
  <cellXfs count="382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 indent="1"/>
    </xf>
    <xf numFmtId="167" fontId="6" fillId="0" borderId="0" xfId="0" applyNumberFormat="1" applyFont="1" applyAlignment="1"/>
    <xf numFmtId="0" fontId="0" fillId="0" borderId="0" xfId="0" applyAlignment="1">
      <alignment horizontal="left"/>
    </xf>
    <xf numFmtId="0" fontId="6" fillId="0" borderId="0" xfId="0" applyFont="1" applyAlignment="1">
      <alignment wrapText="1" indent="2"/>
    </xf>
    <xf numFmtId="0" fontId="6" fillId="0" borderId="0" xfId="0" applyFont="1" applyAlignment="1">
      <alignment wrapText="1"/>
    </xf>
    <xf numFmtId="167" fontId="6" fillId="0" borderId="0" xfId="0" applyNumberFormat="1" applyFont="1" applyAlignment="1">
      <alignment horizontal="left"/>
    </xf>
    <xf numFmtId="168" fontId="6" fillId="0" borderId="0" xfId="0" applyNumberFormat="1" applyFont="1" applyAlignment="1"/>
    <xf numFmtId="169" fontId="6" fillId="0" borderId="0" xfId="0" applyNumberFormat="1" applyFont="1" applyAlignment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171" fontId="6" fillId="0" borderId="0" xfId="0" applyNumberFormat="1" applyFont="1" applyAlignment="1"/>
    <xf numFmtId="171" fontId="6" fillId="0" borderId="0" xfId="0" applyNumberFormat="1" applyFont="1" applyAlignment="1">
      <alignment horizontal="left"/>
    </xf>
    <xf numFmtId="171" fontId="0" fillId="0" borderId="0" xfId="0" applyNumberFormat="1" applyAlignment="1">
      <alignment horizontal="left"/>
    </xf>
    <xf numFmtId="172" fontId="6" fillId="0" borderId="0" xfId="0" applyNumberFormat="1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6" fillId="0" borderId="0" xfId="0" applyFont="1" applyBorder="1" applyAlignment="1">
      <alignment horizontal="left"/>
    </xf>
    <xf numFmtId="167" fontId="6" fillId="0" borderId="0" xfId="0" applyNumberFormat="1" applyFont="1" applyFill="1" applyAlignment="1"/>
    <xf numFmtId="0" fontId="6" fillId="0" borderId="0" xfId="0" applyFont="1" applyFill="1" applyAlignment="1">
      <alignment horizontal="left"/>
    </xf>
    <xf numFmtId="0" fontId="6" fillId="0" borderId="0" xfId="0" applyFont="1" applyAlignment="1">
      <alignment wrapText="1" indent="3"/>
    </xf>
    <xf numFmtId="167" fontId="6" fillId="0" borderId="0" xfId="0" applyNumberFormat="1" applyFont="1" applyFill="1" applyBorder="1" applyAlignment="1"/>
    <xf numFmtId="167" fontId="6" fillId="0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12" fillId="0" borderId="0" xfId="0" applyFont="1" applyAlignment="1">
      <alignment wrapText="1" inden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4" fillId="0" borderId="0" xfId="0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166" fontId="0" fillId="0" borderId="0" xfId="0" applyNumberFormat="1" applyAlignment="1">
      <alignment wrapText="1"/>
    </xf>
    <xf numFmtId="0" fontId="14" fillId="0" borderId="0" xfId="0" applyFont="1" applyFill="1" applyAlignment="1">
      <alignment horizontal="left"/>
    </xf>
    <xf numFmtId="165" fontId="14" fillId="0" borderId="0" xfId="0" applyNumberFormat="1" applyFont="1" applyFill="1" applyAlignment="1"/>
    <xf numFmtId="167" fontId="14" fillId="0" borderId="0" xfId="0" applyNumberFormat="1" applyFont="1" applyFill="1" applyAlignment="1"/>
    <xf numFmtId="0" fontId="0" fillId="0" borderId="0" xfId="0" applyFill="1" applyAlignment="1">
      <alignment wrapText="1"/>
    </xf>
    <xf numFmtId="167" fontId="14" fillId="0" borderId="1" xfId="0" applyNumberFormat="1" applyFont="1" applyFill="1" applyBorder="1" applyAlignment="1"/>
    <xf numFmtId="165" fontId="14" fillId="0" borderId="6" xfId="0" applyNumberFormat="1" applyFont="1" applyFill="1" applyBorder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9" fillId="0" borderId="0" xfId="0" applyFont="1" applyFill="1" applyAlignment="1">
      <alignment wrapText="1"/>
    </xf>
    <xf numFmtId="164" fontId="6" fillId="0" borderId="0" xfId="2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wrapText="1" indent="1"/>
    </xf>
    <xf numFmtId="166" fontId="6" fillId="0" borderId="0" xfId="1" applyNumberFormat="1" applyFont="1" applyFill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166" fontId="6" fillId="0" borderId="2" xfId="1" applyNumberFormat="1" applyFont="1" applyFill="1" applyBorder="1" applyAlignment="1">
      <alignment horizontal="right"/>
    </xf>
    <xf numFmtId="0" fontId="6" fillId="0" borderId="0" xfId="0" applyFont="1" applyFill="1" applyAlignment="1">
      <alignment wrapText="1" indent="2"/>
    </xf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wrapText="1"/>
    </xf>
    <xf numFmtId="166" fontId="6" fillId="0" borderId="0" xfId="1" applyNumberFormat="1" applyFont="1" applyFill="1" applyBorder="1" applyAlignment="1">
      <alignment horizontal="right"/>
    </xf>
    <xf numFmtId="0" fontId="9" fillId="0" borderId="0" xfId="0" applyFont="1" applyFill="1" applyAlignment="1">
      <alignment wrapText="1" indent="2"/>
    </xf>
    <xf numFmtId="164" fontId="6" fillId="0" borderId="4" xfId="2" applyNumberFormat="1" applyFont="1" applyFill="1" applyBorder="1" applyAlignment="1">
      <alignment horizontal="right"/>
    </xf>
    <xf numFmtId="168" fontId="6" fillId="0" borderId="0" xfId="0" applyNumberFormat="1" applyFont="1" applyFill="1" applyAlignment="1">
      <alignment horizontal="right"/>
    </xf>
    <xf numFmtId="165" fontId="6" fillId="0" borderId="4" xfId="0" applyNumberFormat="1" applyFont="1" applyFill="1" applyBorder="1" applyAlignment="1"/>
    <xf numFmtId="0" fontId="6" fillId="0" borderId="0" xfId="0" applyFont="1" applyFill="1" applyAlignment="1">
      <alignment horizontal="left"/>
    </xf>
    <xf numFmtId="170" fontId="6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165" fontId="6" fillId="0" borderId="0" xfId="0" applyNumberFormat="1" applyFont="1" applyFill="1" applyAlignment="1"/>
    <xf numFmtId="164" fontId="6" fillId="0" borderId="0" xfId="2" applyNumberFormat="1" applyFont="1" applyFill="1" applyAlignment="1"/>
    <xf numFmtId="166" fontId="6" fillId="0" borderId="0" xfId="1" applyNumberFormat="1" applyFont="1" applyFill="1" applyAlignment="1">
      <alignment horizontal="left"/>
    </xf>
    <xf numFmtId="166" fontId="6" fillId="0" borderId="0" xfId="1" applyNumberFormat="1" applyFont="1" applyFill="1" applyAlignment="1"/>
    <xf numFmtId="167" fontId="6" fillId="0" borderId="1" xfId="0" applyNumberFormat="1" applyFont="1" applyFill="1" applyBorder="1" applyAlignment="1"/>
    <xf numFmtId="166" fontId="6" fillId="0" borderId="1" xfId="1" applyNumberFormat="1" applyFont="1" applyFill="1" applyBorder="1" applyAlignment="1"/>
    <xf numFmtId="164" fontId="6" fillId="0" borderId="4" xfId="2" applyNumberFormat="1" applyFont="1" applyFill="1" applyBorder="1" applyAlignment="1"/>
    <xf numFmtId="166" fontId="6" fillId="0" borderId="2" xfId="1" applyNumberFormat="1" applyFont="1" applyFill="1" applyBorder="1" applyAlignment="1"/>
    <xf numFmtId="167" fontId="6" fillId="0" borderId="3" xfId="0" applyNumberFormat="1" applyFont="1" applyFill="1" applyBorder="1" applyAlignment="1"/>
    <xf numFmtId="0" fontId="0" fillId="0" borderId="0" xfId="0" applyFill="1" applyAlignment="1"/>
    <xf numFmtId="44" fontId="6" fillId="0" borderId="0" xfId="2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65" fontId="6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43" fontId="6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67" fontId="14" fillId="0" borderId="0" xfId="0" applyNumberFormat="1" applyFont="1" applyFill="1" applyBorder="1" applyAlignment="1"/>
    <xf numFmtId="166" fontId="6" fillId="0" borderId="0" xfId="0" applyNumberFormat="1" applyFont="1" applyAlignment="1">
      <alignment horizontal="left"/>
    </xf>
    <xf numFmtId="43" fontId="0" fillId="0" borderId="0" xfId="1" applyFont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43" fontId="3" fillId="0" borderId="0" xfId="1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166" fontId="6" fillId="0" borderId="0" xfId="1" applyNumberFormat="1" applyFont="1" applyFill="1" applyBorder="1" applyAlignment="1"/>
    <xf numFmtId="164" fontId="0" fillId="0" borderId="0" xfId="2" applyNumberFormat="1" applyFont="1" applyFill="1" applyAlignment="1">
      <alignment horizontal="left"/>
    </xf>
    <xf numFmtId="43" fontId="0" fillId="0" borderId="0" xfId="1" applyFont="1" applyFill="1" applyAlignment="1">
      <alignment wrapText="1"/>
    </xf>
    <xf numFmtId="166" fontId="0" fillId="0" borderId="0" xfId="1" applyNumberFormat="1" applyFont="1" applyFill="1" applyAlignment="1">
      <alignment horizontal="left"/>
    </xf>
    <xf numFmtId="166" fontId="0" fillId="0" borderId="0" xfId="1" applyNumberFormat="1" applyFont="1" applyFill="1" applyAlignment="1">
      <alignment wrapText="1"/>
    </xf>
    <xf numFmtId="44" fontId="0" fillId="0" borderId="0" xfId="2" applyFont="1" applyFill="1" applyAlignment="1">
      <alignment wrapText="1"/>
    </xf>
    <xf numFmtId="166" fontId="0" fillId="0" borderId="0" xfId="1" applyNumberFormat="1" applyFont="1" applyAlignment="1">
      <alignment wrapText="1"/>
    </xf>
    <xf numFmtId="167" fontId="6" fillId="0" borderId="0" xfId="0" applyNumberFormat="1" applyFont="1" applyFill="1" applyAlignment="1">
      <alignment horizontal="right"/>
    </xf>
    <xf numFmtId="171" fontId="6" fillId="0" borderId="0" xfId="0" applyNumberFormat="1" applyFont="1" applyFill="1" applyAlignment="1"/>
    <xf numFmtId="171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172" fontId="6" fillId="0" borderId="0" xfId="0" applyNumberFormat="1" applyFont="1" applyFill="1" applyAlignment="1">
      <alignment horizontal="left"/>
    </xf>
    <xf numFmtId="172" fontId="0" fillId="0" borderId="0" xfId="0" applyNumberFormat="1" applyFill="1" applyAlignment="1">
      <alignment horizontal="left"/>
    </xf>
    <xf numFmtId="172" fontId="6" fillId="0" borderId="0" xfId="0" applyNumberFormat="1" applyFont="1" applyFill="1" applyBorder="1" applyAlignment="1">
      <alignment horizontal="left"/>
    </xf>
    <xf numFmtId="172" fontId="0" fillId="0" borderId="0" xfId="0" applyNumberForma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44" fontId="6" fillId="0" borderId="4" xfId="2" applyNumberFormat="1" applyFont="1" applyFill="1" applyBorder="1" applyAlignment="1">
      <alignment horizontal="center"/>
    </xf>
    <xf numFmtId="166" fontId="6" fillId="0" borderId="4" xfId="1" applyNumberFormat="1" applyFont="1" applyFill="1" applyBorder="1" applyAlignment="1">
      <alignment horizontal="center"/>
    </xf>
    <xf numFmtId="44" fontId="6" fillId="0" borderId="5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left"/>
    </xf>
    <xf numFmtId="164" fontId="6" fillId="0" borderId="8" xfId="2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166" fontId="6" fillId="0" borderId="8" xfId="1" applyNumberFormat="1" applyFont="1" applyFill="1" applyBorder="1" applyAlignment="1">
      <alignment horizontal="right"/>
    </xf>
    <xf numFmtId="166" fontId="6" fillId="0" borderId="9" xfId="1" applyNumberFormat="1" applyFont="1" applyFill="1" applyBorder="1" applyAlignment="1">
      <alignment horizontal="right"/>
    </xf>
    <xf numFmtId="166" fontId="6" fillId="0" borderId="11" xfId="1" applyNumberFormat="1" applyFont="1" applyFill="1" applyBorder="1" applyAlignment="1">
      <alignment horizontal="right"/>
    </xf>
    <xf numFmtId="164" fontId="6" fillId="0" borderId="7" xfId="2" applyNumberFormat="1" applyFont="1" applyFill="1" applyBorder="1" applyAlignment="1">
      <alignment horizontal="right"/>
    </xf>
    <xf numFmtId="168" fontId="6" fillId="0" borderId="8" xfId="0" applyNumberFormat="1" applyFont="1" applyFill="1" applyBorder="1" applyAlignment="1">
      <alignment horizontal="right"/>
    </xf>
    <xf numFmtId="165" fontId="6" fillId="0" borderId="7" xfId="0" applyNumberFormat="1" applyFont="1" applyFill="1" applyBorder="1" applyAlignment="1"/>
    <xf numFmtId="0" fontId="7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9" fillId="0" borderId="0" xfId="0" quotePrefix="1" applyFont="1" applyAlignment="1">
      <alignment wrapText="1"/>
    </xf>
    <xf numFmtId="0" fontId="6" fillId="0" borderId="0" xfId="0" applyFont="1" applyAlignment="1"/>
    <xf numFmtId="0" fontId="11" fillId="0" borderId="0" xfId="0" applyFont="1" applyBorder="1" applyAlignment="1">
      <alignment horizontal="center"/>
    </xf>
    <xf numFmtId="165" fontId="6" fillId="0" borderId="8" xfId="0" applyNumberFormat="1" applyFont="1" applyFill="1" applyBorder="1" applyAlignment="1"/>
    <xf numFmtId="167" fontId="6" fillId="0" borderId="8" xfId="0" applyNumberFormat="1" applyFont="1" applyFill="1" applyBorder="1" applyAlignment="1"/>
    <xf numFmtId="167" fontId="6" fillId="0" borderId="9" xfId="0" applyNumberFormat="1" applyFont="1" applyFill="1" applyBorder="1" applyAlignment="1"/>
    <xf numFmtId="166" fontId="6" fillId="0" borderId="8" xfId="1" applyNumberFormat="1" applyFont="1" applyFill="1" applyBorder="1" applyAlignment="1"/>
    <xf numFmtId="166" fontId="6" fillId="0" borderId="9" xfId="1" applyNumberFormat="1" applyFont="1" applyFill="1" applyBorder="1" applyAlignment="1"/>
    <xf numFmtId="164" fontId="6" fillId="0" borderId="7" xfId="2" applyNumberFormat="1" applyFont="1" applyFill="1" applyBorder="1" applyAlignment="1"/>
    <xf numFmtId="164" fontId="6" fillId="0" borderId="8" xfId="2" applyNumberFormat="1" applyFont="1" applyFill="1" applyBorder="1" applyAlignment="1"/>
    <xf numFmtId="0" fontId="14" fillId="0" borderId="0" xfId="0" applyFont="1" applyFill="1" applyAlignment="1"/>
    <xf numFmtId="0" fontId="15" fillId="0" borderId="0" xfId="0" applyFont="1" applyBorder="1" applyAlignment="1">
      <alignment horizontal="center" wrapText="1"/>
    </xf>
    <xf numFmtId="0" fontId="0" fillId="0" borderId="8" xfId="0" applyFill="1" applyBorder="1" applyAlignment="1">
      <alignment wrapText="1"/>
    </xf>
    <xf numFmtId="0" fontId="6" fillId="0" borderId="8" xfId="0" applyFont="1" applyFill="1" applyBorder="1" applyAlignment="1">
      <alignment horizontal="left"/>
    </xf>
    <xf numFmtId="167" fontId="6" fillId="0" borderId="10" xfId="0" applyNumberFormat="1" applyFont="1" applyFill="1" applyBorder="1" applyAlignment="1"/>
    <xf numFmtId="167" fontId="6" fillId="0" borderId="8" xfId="0" applyNumberFormat="1" applyFont="1" applyFill="1" applyBorder="1" applyAlignment="1">
      <alignment horizontal="left"/>
    </xf>
    <xf numFmtId="0" fontId="0" fillId="0" borderId="0" xfId="0" applyFill="1" applyAlignment="1">
      <alignment horizontal="center" wrapText="1"/>
    </xf>
    <xf numFmtId="0" fontId="6" fillId="0" borderId="0" xfId="0" applyFont="1" applyFill="1" applyAlignment="1">
      <alignment horizontal="center"/>
    </xf>
    <xf numFmtId="44" fontId="6" fillId="0" borderId="0" xfId="2" applyNumberFormat="1" applyFont="1" applyFill="1" applyAlignment="1">
      <alignment horizontal="center"/>
    </xf>
    <xf numFmtId="44" fontId="0" fillId="0" borderId="0" xfId="2" applyNumberFormat="1" applyFont="1" applyFill="1" applyAlignment="1">
      <alignment horizontal="center" wrapText="1"/>
    </xf>
    <xf numFmtId="43" fontId="6" fillId="0" borderId="0" xfId="1" applyFont="1" applyFill="1" applyAlignment="1">
      <alignment horizontal="center"/>
    </xf>
    <xf numFmtId="0" fontId="0" fillId="0" borderId="8" xfId="0" applyFill="1" applyBorder="1" applyAlignment="1"/>
    <xf numFmtId="166" fontId="6" fillId="0" borderId="7" xfId="1" applyNumberFormat="1" applyFont="1" applyFill="1" applyBorder="1" applyAlignment="1"/>
    <xf numFmtId="44" fontId="6" fillId="0" borderId="8" xfId="2" applyNumberFormat="1" applyFont="1" applyFill="1" applyBorder="1" applyAlignment="1">
      <alignment horizontal="left"/>
    </xf>
    <xf numFmtId="43" fontId="6" fillId="0" borderId="8" xfId="1" applyFont="1" applyFill="1" applyBorder="1" applyAlignment="1"/>
    <xf numFmtId="44" fontId="6" fillId="0" borderId="13" xfId="2" applyFont="1" applyFill="1" applyBorder="1" applyAlignment="1"/>
    <xf numFmtId="0" fontId="6" fillId="0" borderId="0" xfId="0" applyFont="1" applyFill="1" applyAlignment="1">
      <alignment wrapText="1"/>
    </xf>
    <xf numFmtId="0" fontId="0" fillId="0" borderId="0" xfId="0" applyAlignment="1">
      <alignment wrapText="1"/>
    </xf>
    <xf numFmtId="44" fontId="6" fillId="0" borderId="7" xfId="2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left"/>
    </xf>
    <xf numFmtId="44" fontId="6" fillId="0" borderId="6" xfId="2" applyFont="1" applyFill="1" applyBorder="1" applyAlignment="1">
      <alignment horizontal="center"/>
    </xf>
    <xf numFmtId="43" fontId="0" fillId="0" borderId="0" xfId="0" applyNumberFormat="1" applyAlignment="1">
      <alignment wrapText="1"/>
    </xf>
    <xf numFmtId="0" fontId="0" fillId="0" borderId="0" xfId="0" applyFill="1" applyAlignment="1"/>
    <xf numFmtId="0" fontId="6" fillId="0" borderId="0" xfId="0" applyFont="1" applyFill="1" applyAlignment="1">
      <alignment horizontal="left" wrapText="1" indent="2"/>
    </xf>
    <xf numFmtId="0" fontId="8" fillId="0" borderId="0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164" fontId="6" fillId="0" borderId="0" xfId="2" applyNumberFormat="1" applyFont="1" applyFill="1" applyBorder="1" applyAlignment="1"/>
    <xf numFmtId="0" fontId="0" fillId="0" borderId="0" xfId="0" applyFill="1" applyBorder="1" applyAlignment="1">
      <alignment wrapText="1"/>
    </xf>
    <xf numFmtId="0" fontId="8" fillId="0" borderId="0" xfId="0" applyFont="1" applyFill="1" applyBorder="1" applyAlignment="1"/>
    <xf numFmtId="0" fontId="8" fillId="0" borderId="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0" xfId="0" applyFont="1" applyFill="1" applyAlignment="1"/>
    <xf numFmtId="0" fontId="7" fillId="0" borderId="1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164" fontId="6" fillId="0" borderId="0" xfId="2" applyNumberFormat="1" applyFont="1" applyFill="1" applyBorder="1" applyAlignment="1">
      <alignment horizontal="left"/>
    </xf>
    <xf numFmtId="0" fontId="0" fillId="0" borderId="0" xfId="0" applyBorder="1" applyAlignment="1">
      <alignment horizontal="left" wrapText="1"/>
    </xf>
    <xf numFmtId="171" fontId="6" fillId="0" borderId="8" xfId="0" applyNumberFormat="1" applyFont="1" applyFill="1" applyBorder="1" applyAlignment="1"/>
    <xf numFmtId="164" fontId="14" fillId="0" borderId="0" xfId="2" applyNumberFormat="1" applyFont="1" applyFill="1" applyAlignment="1">
      <alignment horizontal="left"/>
    </xf>
    <xf numFmtId="44" fontId="6" fillId="0" borderId="8" xfId="2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quotePrefix="1" applyFont="1" applyBorder="1" applyAlignment="1">
      <alignment horizontal="center" wrapText="1"/>
    </xf>
    <xf numFmtId="165" fontId="6" fillId="0" borderId="0" xfId="0" applyNumberFormat="1" applyFont="1" applyFill="1" applyBorder="1" applyAlignment="1"/>
    <xf numFmtId="166" fontId="6" fillId="0" borderId="3" xfId="1" applyNumberFormat="1" applyFont="1" applyFill="1" applyBorder="1" applyAlignment="1"/>
    <xf numFmtId="0" fontId="16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/>
    </xf>
    <xf numFmtId="164" fontId="14" fillId="0" borderId="0" xfId="2" applyNumberFormat="1" applyFont="1" applyFill="1" applyBorder="1" applyAlignment="1">
      <alignment horizontal="left"/>
    </xf>
    <xf numFmtId="166" fontId="14" fillId="0" borderId="0" xfId="1" applyNumberFormat="1" applyFont="1" applyFill="1" applyBorder="1" applyAlignment="1"/>
    <xf numFmtId="166" fontId="14" fillId="0" borderId="1" xfId="1" applyNumberFormat="1" applyFont="1" applyFill="1" applyBorder="1" applyAlignment="1"/>
    <xf numFmtId="165" fontId="14" fillId="0" borderId="0" xfId="0" applyNumberFormat="1" applyFont="1" applyFill="1" applyBorder="1" applyAlignment="1"/>
    <xf numFmtId="167" fontId="14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>
      <alignment horizontal="left"/>
    </xf>
    <xf numFmtId="166" fontId="14" fillId="0" borderId="0" xfId="1" applyNumberFormat="1" applyFont="1" applyFill="1" applyBorder="1" applyAlignment="1">
      <alignment horizontal="left"/>
    </xf>
    <xf numFmtId="166" fontId="14" fillId="0" borderId="0" xfId="1" applyNumberFormat="1" applyFont="1" applyFill="1" applyAlignment="1">
      <alignment horizontal="left"/>
    </xf>
    <xf numFmtId="166" fontId="6" fillId="0" borderId="0" xfId="24" applyNumberFormat="1" applyFont="1" applyFill="1" applyBorder="1" applyAlignment="1"/>
    <xf numFmtId="174" fontId="6" fillId="0" borderId="0" xfId="25" applyNumberFormat="1" applyFont="1" applyFill="1" applyBorder="1" applyAlignment="1"/>
    <xf numFmtId="166" fontId="6" fillId="0" borderId="0" xfId="24" applyNumberFormat="1" applyFont="1" applyFill="1" applyAlignment="1"/>
    <xf numFmtId="173" fontId="6" fillId="0" borderId="0" xfId="24" applyNumberFormat="1" applyFont="1" applyFill="1" applyAlignment="1"/>
    <xf numFmtId="174" fontId="6" fillId="0" borderId="0" xfId="25" applyNumberFormat="1" applyFont="1" applyFill="1" applyAlignment="1"/>
    <xf numFmtId="173" fontId="6" fillId="0" borderId="1" xfId="24" applyNumberFormat="1" applyFont="1" applyFill="1" applyBorder="1" applyAlignment="1"/>
    <xf numFmtId="173" fontId="6" fillId="0" borderId="0" xfId="24" applyNumberFormat="1" applyFont="1" applyFill="1" applyBorder="1" applyAlignment="1"/>
    <xf numFmtId="166" fontId="6" fillId="0" borderId="14" xfId="1" applyNumberFormat="1" applyFont="1" applyFill="1" applyBorder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1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Fill="1" applyAlignment="1">
      <alignment horizontal="left"/>
    </xf>
    <xf numFmtId="0" fontId="0" fillId="0" borderId="0" xfId="0" applyAlignment="1">
      <alignment wrapText="1"/>
    </xf>
    <xf numFmtId="44" fontId="6" fillId="0" borderId="4" xfId="2" applyFont="1" applyFill="1" applyBorder="1" applyAlignment="1">
      <alignment horizontal="right"/>
    </xf>
    <xf numFmtId="0" fontId="6" fillId="0" borderId="0" xfId="30" applyFont="1" applyAlignment="1">
      <alignment horizontal="left"/>
    </xf>
    <xf numFmtId="0" fontId="22" fillId="0" borderId="0" xfId="31"/>
    <xf numFmtId="0" fontId="8" fillId="0" borderId="3" xfId="30" applyFont="1" applyBorder="1" applyAlignment="1">
      <alignment horizontal="center" wrapText="1"/>
    </xf>
    <xf numFmtId="0" fontId="3" fillId="0" borderId="0" xfId="30" applyFont="1" applyFill="1" applyBorder="1" applyAlignment="1"/>
    <xf numFmtId="0" fontId="6" fillId="0" borderId="0" xfId="30" applyFont="1" applyAlignment="1">
      <alignment wrapText="1"/>
    </xf>
    <xf numFmtId="164" fontId="6" fillId="0" borderId="0" xfId="25" applyNumberFormat="1" applyFont="1" applyFill="1" applyBorder="1" applyAlignment="1"/>
    <xf numFmtId="164" fontId="6" fillId="0" borderId="0" xfId="25" applyNumberFormat="1" applyFont="1" applyFill="1" applyAlignment="1"/>
    <xf numFmtId="0" fontId="6" fillId="0" borderId="0" xfId="30" applyFont="1" applyAlignment="1">
      <alignment wrapText="1" indent="2"/>
    </xf>
    <xf numFmtId="44" fontId="6" fillId="0" borderId="0" xfId="25" applyFont="1" applyFill="1" applyAlignment="1"/>
    <xf numFmtId="43" fontId="6" fillId="0" borderId="1" xfId="24" applyFont="1" applyFill="1" applyBorder="1" applyAlignment="1"/>
    <xf numFmtId="43" fontId="6" fillId="0" borderId="0" xfId="24" applyFont="1" applyFill="1" applyBorder="1" applyAlignment="1"/>
    <xf numFmtId="174" fontId="6" fillId="0" borderId="4" xfId="25" applyNumberFormat="1" applyFont="1" applyFill="1" applyBorder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166" fontId="0" fillId="0" borderId="1" xfId="1" applyNumberFormat="1" applyFont="1" applyBorder="1" applyAlignment="1">
      <alignment wrapText="1"/>
    </xf>
    <xf numFmtId="166" fontId="0" fillId="0" borderId="4" xfId="1" applyNumberFormat="1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30" applyFont="1" applyAlignment="1"/>
    <xf numFmtId="44" fontId="6" fillId="0" borderId="0" xfId="30" applyNumberFormat="1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171" fontId="6" fillId="0" borderId="0" xfId="0" applyNumberFormat="1" applyFont="1" applyAlignment="1"/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171" fontId="6" fillId="0" borderId="0" xfId="0" applyNumberFormat="1" applyFont="1" applyAlignment="1"/>
    <xf numFmtId="0" fontId="8" fillId="0" borderId="3" xfId="0" applyFont="1" applyBorder="1" applyAlignment="1">
      <alignment horizontal="center" wrapText="1"/>
    </xf>
    <xf numFmtId="164" fontId="6" fillId="0" borderId="0" xfId="2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8" fontId="6" fillId="0" borderId="0" xfId="0" applyNumberFormat="1" applyFont="1" applyFill="1" applyBorder="1" applyAlignment="1">
      <alignment horizontal="right"/>
    </xf>
    <xf numFmtId="44" fontId="6" fillId="0" borderId="4" xfId="2" applyNumberFormat="1" applyFont="1" applyFill="1" applyBorder="1" applyAlignment="1">
      <alignment horizontal="right"/>
    </xf>
    <xf numFmtId="166" fontId="6" fillId="0" borderId="4" xfId="1" applyNumberFormat="1" applyFont="1" applyFill="1" applyBorder="1" applyAlignment="1">
      <alignment horizontal="right"/>
    </xf>
    <xf numFmtId="44" fontId="6" fillId="0" borderId="5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171" fontId="6" fillId="0" borderId="0" xfId="0" applyNumberFormat="1" applyFont="1" applyAlignment="1"/>
    <xf numFmtId="171" fontId="6" fillId="0" borderId="0" xfId="0" applyNumberFormat="1" applyFont="1" applyFill="1" applyBorder="1" applyAlignment="1"/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ill="1" applyBorder="1" applyAlignment="1"/>
    <xf numFmtId="166" fontId="6" fillId="0" borderId="4" xfId="1" applyNumberFormat="1" applyFont="1" applyFill="1" applyBorder="1" applyAlignment="1"/>
    <xf numFmtId="44" fontId="6" fillId="0" borderId="0" xfId="2" applyNumberFormat="1" applyFont="1" applyFill="1" applyBorder="1" applyAlignment="1">
      <alignment horizontal="center"/>
    </xf>
    <xf numFmtId="44" fontId="6" fillId="0" borderId="0" xfId="2" applyNumberFormat="1" applyFont="1" applyFill="1" applyBorder="1" applyAlignment="1">
      <alignment horizontal="left"/>
    </xf>
    <xf numFmtId="43" fontId="6" fillId="0" borderId="0" xfId="1" applyFont="1" applyFill="1" applyBorder="1" applyAlignment="1"/>
    <xf numFmtId="44" fontId="6" fillId="0" borderId="6" xfId="2" applyFont="1" applyFill="1" applyBorder="1" applyAlignment="1"/>
    <xf numFmtId="0" fontId="0" fillId="0" borderId="0" xfId="0" applyAlignment="1">
      <alignment wrapText="1"/>
    </xf>
    <xf numFmtId="0" fontId="7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8" fillId="0" borderId="8" xfId="0" applyFont="1" applyBorder="1" applyAlignment="1">
      <alignment horizontal="center" wrapText="1"/>
    </xf>
    <xf numFmtId="164" fontId="6" fillId="0" borderId="0" xfId="0" applyNumberFormat="1" applyFont="1" applyAlignment="1">
      <alignment horizontal="left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44" fontId="6" fillId="0" borderId="0" xfId="2" applyNumberFormat="1" applyFont="1" applyFill="1" applyBorder="1" applyAlignment="1">
      <alignment horizontal="right"/>
    </xf>
    <xf numFmtId="44" fontId="6" fillId="0" borderId="0" xfId="2" applyFont="1" applyFill="1" applyBorder="1" applyAlignment="1">
      <alignment horizontal="right"/>
    </xf>
    <xf numFmtId="44" fontId="6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wrapText="1"/>
    </xf>
    <xf numFmtId="167" fontId="6" fillId="0" borderId="8" xfId="0" applyNumberFormat="1" applyFont="1" applyFill="1" applyBorder="1" applyAlignment="1">
      <alignment horizontal="right"/>
    </xf>
    <xf numFmtId="166" fontId="6" fillId="0" borderId="7" xfId="1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left"/>
    </xf>
    <xf numFmtId="0" fontId="7" fillId="0" borderId="0" xfId="0" applyFont="1" applyBorder="1" applyAlignment="1"/>
    <xf numFmtId="44" fontId="6" fillId="0" borderId="0" xfId="25" applyFont="1" applyFill="1" applyBorder="1" applyAlignment="1"/>
    <xf numFmtId="0" fontId="3" fillId="0" borderId="0" xfId="30" applyBorder="1"/>
    <xf numFmtId="167" fontId="6" fillId="0" borderId="8" xfId="1" applyNumberFormat="1" applyFont="1" applyFill="1" applyBorder="1" applyAlignment="1"/>
    <xf numFmtId="0" fontId="7" fillId="0" borderId="1" xfId="0" applyFont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0" fontId="7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0" xfId="30" applyFont="1" applyAlignment="1">
      <alignment horizontal="left"/>
    </xf>
    <xf numFmtId="0" fontId="6" fillId="0" borderId="0" xfId="0" applyFont="1" applyAlignment="1">
      <alignment wrapText="1"/>
    </xf>
    <xf numFmtId="0" fontId="7" fillId="0" borderId="1" xfId="30" applyFont="1" applyBorder="1" applyAlignment="1"/>
    <xf numFmtId="0" fontId="23" fillId="0" borderId="0" xfId="0" applyFont="1" applyAlignment="1">
      <alignment wrapText="1"/>
    </xf>
    <xf numFmtId="0" fontId="24" fillId="0" borderId="16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6" fillId="0" borderId="0" xfId="0" applyFont="1" applyBorder="1"/>
    <xf numFmtId="0" fontId="6" fillId="0" borderId="0" xfId="0" applyFont="1"/>
    <xf numFmtId="164" fontId="6" fillId="0" borderId="0" xfId="2" applyNumberFormat="1" applyFont="1" applyBorder="1"/>
    <xf numFmtId="166" fontId="6" fillId="0" borderId="0" xfId="1" applyNumberFormat="1" applyFont="1" applyBorder="1"/>
    <xf numFmtId="166" fontId="6" fillId="0" borderId="0" xfId="1" applyNumberFormat="1" applyFont="1"/>
    <xf numFmtId="164" fontId="6" fillId="0" borderId="3" xfId="2" applyNumberFormat="1" applyFont="1" applyBorder="1"/>
    <xf numFmtId="0" fontId="6" fillId="0" borderId="0" xfId="0" applyFont="1" applyAlignment="1">
      <alignment horizontal="left" wrapText="1" indent="1"/>
    </xf>
    <xf numFmtId="164" fontId="6" fillId="0" borderId="0" xfId="1" applyNumberFormat="1" applyFont="1" applyBorder="1"/>
    <xf numFmtId="164" fontId="6" fillId="0" borderId="0" xfId="2" applyNumberFormat="1" applyFont="1"/>
    <xf numFmtId="164" fontId="6" fillId="0" borderId="2" xfId="2" applyNumberFormat="1" applyFont="1" applyBorder="1"/>
    <xf numFmtId="44" fontId="6" fillId="0" borderId="0" xfId="2" applyFont="1" applyBorder="1"/>
    <xf numFmtId="0" fontId="17" fillId="0" borderId="0" xfId="31" applyFont="1"/>
    <xf numFmtId="164" fontId="6" fillId="0" borderId="0" xfId="2" applyNumberFormat="1" applyFont="1" applyFill="1" applyBorder="1"/>
    <xf numFmtId="0" fontId="24" fillId="0" borderId="0" xfId="0" applyFont="1" applyFill="1" applyAlignment="1">
      <alignment wrapText="1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Alignment="1">
      <alignment wrapText="1"/>
    </xf>
    <xf numFmtId="0" fontId="24" fillId="0" borderId="0" xfId="0" applyFont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2" fillId="0" borderId="0" xfId="31" applyAlignment="1"/>
    <xf numFmtId="0" fontId="17" fillId="0" borderId="0" xfId="31" applyFont="1" applyAlignment="1"/>
    <xf numFmtId="0" fontId="25" fillId="0" borderId="0" xfId="31" applyFont="1" applyAlignment="1"/>
    <xf numFmtId="0" fontId="6" fillId="0" borderId="0" xfId="0" applyFont="1" applyAlignment="1">
      <alignment vertical="center"/>
    </xf>
    <xf numFmtId="0" fontId="17" fillId="0" borderId="0" xfId="31" applyFont="1" applyAlignment="1">
      <alignment horizontal="left"/>
    </xf>
    <xf numFmtId="0" fontId="22" fillId="0" borderId="0" xfId="31" applyAlignment="1">
      <alignment horizontal="left" wrapText="1"/>
    </xf>
    <xf numFmtId="0" fontId="22" fillId="0" borderId="0" xfId="31" applyAlignment="1">
      <alignment horizontal="left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7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164" fontId="6" fillId="0" borderId="6" xfId="2" applyNumberFormat="1" applyFont="1" applyBorder="1"/>
    <xf numFmtId="0" fontId="6" fillId="0" borderId="0" xfId="0" applyFont="1" applyAlignment="1">
      <alignment horizontal="left" wrapText="1"/>
    </xf>
    <xf numFmtId="0" fontId="6" fillId="0" borderId="0" xfId="30" applyFont="1" applyAlignment="1">
      <alignment horizontal="left"/>
    </xf>
    <xf numFmtId="44" fontId="6" fillId="0" borderId="7" xfId="2" applyNumberFormat="1" applyFont="1" applyFill="1" applyBorder="1" applyAlignment="1">
      <alignment horizontal="right"/>
    </xf>
    <xf numFmtId="44" fontId="6" fillId="0" borderId="12" xfId="0" applyNumberFormat="1" applyFont="1" applyFill="1" applyBorder="1" applyAlignment="1">
      <alignment horizontal="right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4" fillId="0" borderId="0" xfId="30" applyFont="1" applyAlignment="1">
      <alignment horizontal="center" wrapText="1"/>
    </xf>
    <xf numFmtId="0" fontId="6" fillId="0" borderId="0" xfId="30" applyFont="1" applyAlignment="1">
      <alignment horizontal="left"/>
    </xf>
    <xf numFmtId="0" fontId="3" fillId="0" borderId="0" xfId="30" applyAlignment="1">
      <alignment horizontal="left"/>
    </xf>
    <xf numFmtId="0" fontId="4" fillId="0" borderId="0" xfId="30" applyFont="1" applyAlignment="1">
      <alignment horizontal="center"/>
    </xf>
    <xf numFmtId="0" fontId="7" fillId="0" borderId="2" xfId="30" applyFont="1" applyBorder="1" applyAlignment="1">
      <alignment horizontal="center" wrapText="1"/>
    </xf>
    <xf numFmtId="0" fontId="22" fillId="0" borderId="0" xfId="31" applyAlignment="1">
      <alignment wrapText="1"/>
    </xf>
    <xf numFmtId="0" fontId="7" fillId="0" borderId="1" xfId="0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171" fontId="6" fillId="0" borderId="0" xfId="0" applyNumberFormat="1" applyFont="1" applyAlignment="1"/>
    <xf numFmtId="0" fontId="4" fillId="0" borderId="0" xfId="0" applyFont="1" applyAlignment="1">
      <alignment horizontal="center"/>
    </xf>
  </cellXfs>
  <cellStyles count="32">
    <cellStyle name="Comma" xfId="1" builtinId="3"/>
    <cellStyle name="Comma 2" xfId="4"/>
    <cellStyle name="Comma 3" xfId="5"/>
    <cellStyle name="Comma 3 2" xfId="28"/>
    <cellStyle name="Comma 3 3" xfId="20"/>
    <cellStyle name="Comma 4" xfId="6"/>
    <cellStyle name="Comma 5" xfId="24"/>
    <cellStyle name="Comma 6" xfId="16"/>
    <cellStyle name="Currency" xfId="2" builtinId="4"/>
    <cellStyle name="Currency 2" xfId="7"/>
    <cellStyle name="Currency 3" xfId="8"/>
    <cellStyle name="Currency 3 2" xfId="29"/>
    <cellStyle name="Currency 3 3" xfId="21"/>
    <cellStyle name="Currency 4" xfId="9"/>
    <cellStyle name="Currency 5" xfId="25"/>
    <cellStyle name="Currency 6" xfId="17"/>
    <cellStyle name="Normal" xfId="0" builtinId="0"/>
    <cellStyle name="Normal 2" xfId="3"/>
    <cellStyle name="Normal 2 2" xfId="10"/>
    <cellStyle name="Normal 2 3" xfId="26"/>
    <cellStyle name="Normal 2 4" xfId="22"/>
    <cellStyle name="Normal 3" xfId="11"/>
    <cellStyle name="Normal 3 2" xfId="27"/>
    <cellStyle name="Normal 3 3" xfId="19"/>
    <cellStyle name="Normal 4" xfId="12"/>
    <cellStyle name="Normal 5" xfId="23"/>
    <cellStyle name="Normal 5 2" xfId="30"/>
    <cellStyle name="Normal 6" xfId="15"/>
    <cellStyle name="Normal 7" xfId="14"/>
    <cellStyle name="Normal 8" xfId="31"/>
    <cellStyle name="Percent 2" xfId="13"/>
    <cellStyle name="Percent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04"/>
  <sheetViews>
    <sheetView workbookViewId="0">
      <selection activeCell="I43" sqref="I43"/>
    </sheetView>
  </sheetViews>
  <sheetFormatPr defaultColWidth="21.5" defaultRowHeight="13.5" customHeight="1" x14ac:dyDescent="0.2"/>
  <cols>
    <col min="1" max="1" width="74" style="1" bestFit="1" customWidth="1"/>
    <col min="2" max="2" width="16.83203125" style="1" customWidth="1"/>
    <col min="3" max="3" width="16.83203125" style="288" customWidth="1"/>
    <col min="4" max="4" width="4.83203125" style="38" customWidth="1"/>
    <col min="5" max="5" width="17" style="1" customWidth="1"/>
    <col min="6" max="6" width="16.83203125" style="1" customWidth="1"/>
    <col min="7" max="16384" width="21.5" style="1"/>
  </cols>
  <sheetData>
    <row r="1" spans="1:7" ht="13.5" customHeight="1" x14ac:dyDescent="0.25">
      <c r="A1" s="363" t="s">
        <v>0</v>
      </c>
      <c r="B1" s="363"/>
      <c r="C1" s="363"/>
      <c r="D1" s="363"/>
      <c r="E1" s="363"/>
    </row>
    <row r="2" spans="1:7" ht="13.5" customHeight="1" x14ac:dyDescent="0.25">
      <c r="A2" s="363" t="s">
        <v>1</v>
      </c>
      <c r="B2" s="363"/>
      <c r="C2" s="363"/>
      <c r="D2" s="363"/>
      <c r="E2" s="363"/>
    </row>
    <row r="3" spans="1:7" ht="13.5" customHeight="1" x14ac:dyDescent="0.25">
      <c r="A3" s="363" t="s">
        <v>2</v>
      </c>
      <c r="B3" s="363"/>
      <c r="C3" s="363"/>
      <c r="D3" s="363"/>
      <c r="E3" s="363"/>
    </row>
    <row r="4" spans="1:7" ht="13.5" customHeight="1" x14ac:dyDescent="0.2">
      <c r="A4" s="2"/>
      <c r="B4" s="2"/>
      <c r="E4" s="2"/>
    </row>
    <row r="5" spans="1:7" s="137" customFormat="1" ht="13.5" customHeight="1" x14ac:dyDescent="0.2">
      <c r="A5" s="22"/>
      <c r="B5" s="22"/>
      <c r="C5" s="288"/>
      <c r="D5" s="38"/>
      <c r="E5" s="22"/>
    </row>
    <row r="6" spans="1:7" ht="13.5" customHeight="1" x14ac:dyDescent="0.2">
      <c r="A6" s="3"/>
      <c r="B6" s="364" t="s">
        <v>90</v>
      </c>
      <c r="C6" s="364"/>
      <c r="D6" s="299"/>
      <c r="E6" s="289" t="s">
        <v>90</v>
      </c>
      <c r="F6" s="229" t="s">
        <v>89</v>
      </c>
    </row>
    <row r="7" spans="1:7" ht="45" x14ac:dyDescent="0.2">
      <c r="A7" s="3"/>
      <c r="B7" s="195" t="s">
        <v>158</v>
      </c>
      <c r="C7" s="294" t="s">
        <v>159</v>
      </c>
      <c r="D7" s="295"/>
      <c r="E7" s="289" t="s">
        <v>163</v>
      </c>
      <c r="F7" s="195" t="s">
        <v>162</v>
      </c>
    </row>
    <row r="8" spans="1:7" ht="13.5" customHeight="1" x14ac:dyDescent="0.2">
      <c r="A8" s="3"/>
      <c r="B8" s="268" t="s">
        <v>4</v>
      </c>
      <c r="C8" s="268" t="s">
        <v>4</v>
      </c>
      <c r="D8" s="187"/>
      <c r="E8" s="292"/>
      <c r="F8" s="268"/>
    </row>
    <row r="9" spans="1:7" ht="13.5" customHeight="1" x14ac:dyDescent="0.2">
      <c r="A9" s="3"/>
      <c r="B9" s="25"/>
      <c r="C9" s="25"/>
      <c r="D9" s="25"/>
      <c r="E9" s="142"/>
      <c r="F9" s="226"/>
    </row>
    <row r="10" spans="1:7" ht="13.5" customHeight="1" x14ac:dyDescent="0.2">
      <c r="A10" s="58" t="s">
        <v>5</v>
      </c>
      <c r="B10" s="269">
        <v>560244</v>
      </c>
      <c r="C10" s="269">
        <v>2324623</v>
      </c>
      <c r="D10" s="269"/>
      <c r="E10" s="143">
        <v>575688</v>
      </c>
      <c r="F10" s="59">
        <v>1398709</v>
      </c>
    </row>
    <row r="11" spans="1:7" ht="13.5" customHeight="1" x14ac:dyDescent="0.2">
      <c r="A11" s="27"/>
      <c r="B11" s="270"/>
      <c r="C11" s="270"/>
      <c r="D11" s="270"/>
      <c r="E11" s="144"/>
      <c r="F11" s="60"/>
    </row>
    <row r="12" spans="1:7" ht="13.5" customHeight="1" x14ac:dyDescent="0.2">
      <c r="A12" s="58" t="s">
        <v>6</v>
      </c>
      <c r="B12" s="270"/>
      <c r="C12" s="270"/>
      <c r="D12" s="270"/>
      <c r="E12" s="144"/>
      <c r="F12" s="60"/>
    </row>
    <row r="13" spans="1:7" ht="13.5" customHeight="1" x14ac:dyDescent="0.2">
      <c r="A13" s="61" t="s">
        <v>7</v>
      </c>
      <c r="B13" s="69">
        <v>451221</v>
      </c>
      <c r="C13" s="69">
        <v>1843093</v>
      </c>
      <c r="D13" s="69"/>
      <c r="E13" s="145">
        <v>470644</v>
      </c>
      <c r="F13" s="62">
        <f>1288785-24321</f>
        <v>1264464</v>
      </c>
      <c r="G13" s="42"/>
    </row>
    <row r="14" spans="1:7" ht="13.5" customHeight="1" x14ac:dyDescent="0.2">
      <c r="A14" s="61" t="s">
        <v>8</v>
      </c>
      <c r="B14" s="69">
        <v>27928</v>
      </c>
      <c r="C14" s="69">
        <v>122464</v>
      </c>
      <c r="D14" s="69"/>
      <c r="E14" s="145">
        <v>32604</v>
      </c>
      <c r="F14" s="62">
        <v>191581</v>
      </c>
    </row>
    <row r="15" spans="1:7" s="137" customFormat="1" ht="13.5" customHeight="1" x14ac:dyDescent="0.2">
      <c r="A15" s="61" t="s">
        <v>94</v>
      </c>
      <c r="B15" s="69">
        <v>7383</v>
      </c>
      <c r="C15" s="69">
        <v>30209</v>
      </c>
      <c r="D15" s="69"/>
      <c r="E15" s="145">
        <v>7634</v>
      </c>
      <c r="F15" s="62">
        <v>24321</v>
      </c>
    </row>
    <row r="16" spans="1:7" ht="13.5" customHeight="1" x14ac:dyDescent="0.2">
      <c r="A16" s="61" t="s">
        <v>102</v>
      </c>
      <c r="B16" s="69">
        <v>11082</v>
      </c>
      <c r="C16" s="69">
        <v>53985</v>
      </c>
      <c r="D16" s="69"/>
      <c r="E16" s="145">
        <v>796</v>
      </c>
      <c r="F16" s="62">
        <v>-728</v>
      </c>
    </row>
    <row r="17" spans="1:8" ht="13.5" customHeight="1" x14ac:dyDescent="0.2">
      <c r="A17" s="61" t="s">
        <v>9</v>
      </c>
      <c r="B17" s="69">
        <v>4477</v>
      </c>
      <c r="C17" s="69">
        <v>7222</v>
      </c>
      <c r="D17" s="69"/>
      <c r="E17" s="145">
        <v>396</v>
      </c>
      <c r="F17" s="62">
        <v>2856</v>
      </c>
    </row>
    <row r="18" spans="1:8" s="50" customFormat="1" ht="13.5" customHeight="1" x14ac:dyDescent="0.2">
      <c r="A18" s="61" t="s">
        <v>79</v>
      </c>
      <c r="B18" s="69">
        <v>0</v>
      </c>
      <c r="C18" s="69">
        <v>0</v>
      </c>
      <c r="D18" s="69"/>
      <c r="E18" s="145">
        <v>0</v>
      </c>
      <c r="F18" s="62">
        <v>129267</v>
      </c>
    </row>
    <row r="19" spans="1:8" ht="13.5" customHeight="1" x14ac:dyDescent="0.2">
      <c r="A19" s="61" t="s">
        <v>10</v>
      </c>
      <c r="B19" s="69">
        <v>23100</v>
      </c>
      <c r="C19" s="69">
        <v>86821</v>
      </c>
      <c r="D19" s="69"/>
      <c r="E19" s="145">
        <v>22836</v>
      </c>
      <c r="F19" s="62">
        <v>59343</v>
      </c>
    </row>
    <row r="20" spans="1:8" s="249" customFormat="1" ht="13.5" customHeight="1" x14ac:dyDescent="0.2">
      <c r="A20" s="61" t="s">
        <v>141</v>
      </c>
      <c r="B20" s="69">
        <v>277</v>
      </c>
      <c r="C20" s="69">
        <v>-21297</v>
      </c>
      <c r="D20" s="69"/>
      <c r="E20" s="145">
        <v>0</v>
      </c>
      <c r="F20" s="62">
        <v>0</v>
      </c>
      <c r="H20" s="42"/>
    </row>
    <row r="21" spans="1:8" ht="13.5" customHeight="1" x14ac:dyDescent="0.2">
      <c r="A21" s="61" t="s">
        <v>125</v>
      </c>
      <c r="B21" s="63">
        <f>-15898-277</f>
        <v>-16175</v>
      </c>
      <c r="C21" s="63">
        <f>-29993-277</f>
        <v>-30270</v>
      </c>
      <c r="D21" s="69"/>
      <c r="E21" s="146">
        <v>-5340</v>
      </c>
      <c r="F21" s="63">
        <v>-15257</v>
      </c>
    </row>
    <row r="22" spans="1:8" ht="13.5" customHeight="1" x14ac:dyDescent="0.2">
      <c r="A22" s="64"/>
      <c r="B22" s="63">
        <f>SUM(B13:B21)</f>
        <v>509293</v>
      </c>
      <c r="C22" s="63">
        <f>SUM(C13:C21)</f>
        <v>2092227</v>
      </c>
      <c r="D22" s="69"/>
      <c r="E22" s="147">
        <f>SUM(E13:E21)</f>
        <v>529570</v>
      </c>
      <c r="F22" s="65">
        <f>SUM(F13:F21)</f>
        <v>1655847</v>
      </c>
      <c r="G22" s="42"/>
    </row>
    <row r="23" spans="1:8" ht="13.5" customHeight="1" x14ac:dyDescent="0.2">
      <c r="A23" s="27"/>
      <c r="B23" s="69"/>
      <c r="C23" s="69"/>
      <c r="D23" s="69"/>
      <c r="E23" s="145"/>
      <c r="F23" s="62"/>
    </row>
    <row r="24" spans="1:8" ht="13.5" customHeight="1" x14ac:dyDescent="0.2">
      <c r="A24" s="66" t="s">
        <v>88</v>
      </c>
      <c r="B24" s="69">
        <f>+B10-B22</f>
        <v>50951</v>
      </c>
      <c r="C24" s="69">
        <f>+C10-C22</f>
        <v>232396</v>
      </c>
      <c r="D24" s="69"/>
      <c r="E24" s="145">
        <f>+E10-E22</f>
        <v>46118</v>
      </c>
      <c r="F24" s="62">
        <f>+F10-F22</f>
        <v>-257138</v>
      </c>
      <c r="G24" s="42"/>
    </row>
    <row r="25" spans="1:8" ht="13.5" customHeight="1" x14ac:dyDescent="0.2">
      <c r="A25" s="27"/>
      <c r="B25" s="69"/>
      <c r="C25" s="69"/>
      <c r="D25" s="69"/>
      <c r="E25" s="145"/>
      <c r="F25" s="62"/>
    </row>
    <row r="26" spans="1:8" ht="13.5" customHeight="1" x14ac:dyDescent="0.2">
      <c r="A26" s="58" t="s">
        <v>11</v>
      </c>
      <c r="B26" s="69"/>
      <c r="C26" s="69"/>
      <c r="D26" s="69"/>
      <c r="E26" s="145"/>
      <c r="F26" s="62"/>
    </row>
    <row r="27" spans="1:8" ht="13.5" customHeight="1" x14ac:dyDescent="0.2">
      <c r="A27" s="61" t="s">
        <v>12</v>
      </c>
      <c r="B27" s="69">
        <v>-5505</v>
      </c>
      <c r="C27" s="69">
        <v>-26905</v>
      </c>
      <c r="D27" s="69"/>
      <c r="E27" s="145">
        <v>-11241</v>
      </c>
      <c r="F27" s="62">
        <v>-135888</v>
      </c>
    </row>
    <row r="28" spans="1:8" ht="13.5" customHeight="1" x14ac:dyDescent="0.2">
      <c r="A28" s="61" t="s">
        <v>13</v>
      </c>
      <c r="B28" s="69">
        <v>560</v>
      </c>
      <c r="C28" s="69">
        <v>2649</v>
      </c>
      <c r="D28" s="69"/>
      <c r="E28" s="146">
        <v>487</v>
      </c>
      <c r="F28" s="63">
        <v>2653</v>
      </c>
    </row>
    <row r="29" spans="1:8" ht="13.5" customHeight="1" x14ac:dyDescent="0.2">
      <c r="A29" s="27"/>
      <c r="B29" s="65">
        <f>SUM(B27:B28)</f>
        <v>-4945</v>
      </c>
      <c r="C29" s="65">
        <f>SUM(C27:C28)</f>
        <v>-24256</v>
      </c>
      <c r="D29" s="69"/>
      <c r="E29" s="147">
        <f>SUM(E27:E28)</f>
        <v>-10754</v>
      </c>
      <c r="F29" s="65">
        <f>SUM(F27:F28)</f>
        <v>-133235</v>
      </c>
    </row>
    <row r="30" spans="1:8" ht="13.5" customHeight="1" x14ac:dyDescent="0.2">
      <c r="A30" s="27"/>
      <c r="B30" s="69"/>
      <c r="C30" s="69"/>
      <c r="D30" s="69"/>
      <c r="E30" s="145"/>
      <c r="F30" s="62"/>
    </row>
    <row r="31" spans="1:8" s="137" customFormat="1" ht="13.5" customHeight="1" x14ac:dyDescent="0.2">
      <c r="A31" s="135" t="s">
        <v>100</v>
      </c>
      <c r="B31" s="69">
        <f>B24+B29</f>
        <v>46006</v>
      </c>
      <c r="C31" s="69">
        <f>C24+C29</f>
        <v>208140</v>
      </c>
      <c r="D31" s="69"/>
      <c r="E31" s="145">
        <f>E24+E29</f>
        <v>35364</v>
      </c>
      <c r="F31" s="62">
        <f>F24+F29</f>
        <v>-390373</v>
      </c>
      <c r="G31" s="42"/>
    </row>
    <row r="32" spans="1:8" s="137" customFormat="1" ht="13.5" customHeight="1" x14ac:dyDescent="0.2">
      <c r="A32" s="135"/>
      <c r="B32" s="69"/>
      <c r="C32" s="69"/>
      <c r="D32" s="69"/>
      <c r="E32" s="145"/>
      <c r="F32" s="62"/>
    </row>
    <row r="33" spans="1:7" s="53" customFormat="1" ht="13.5" customHeight="1" x14ac:dyDescent="0.2">
      <c r="A33" s="67" t="s">
        <v>182</v>
      </c>
      <c r="B33" s="69"/>
      <c r="C33" s="69"/>
      <c r="D33" s="69"/>
      <c r="E33" s="145"/>
      <c r="F33" s="62"/>
    </row>
    <row r="34" spans="1:7" s="53" customFormat="1" ht="13.5" customHeight="1" x14ac:dyDescent="0.2">
      <c r="A34" s="61" t="s">
        <v>82</v>
      </c>
      <c r="B34" s="69">
        <v>0</v>
      </c>
      <c r="C34" s="69">
        <v>-2547</v>
      </c>
      <c r="D34" s="69"/>
      <c r="E34" s="145">
        <v>0</v>
      </c>
      <c r="F34" s="69">
        <v>-2213</v>
      </c>
    </row>
    <row r="35" spans="1:7" s="102" customFormat="1" ht="13.5" customHeight="1" x14ac:dyDescent="0.2">
      <c r="A35" s="61" t="s">
        <v>83</v>
      </c>
      <c r="B35" s="63">
        <v>494</v>
      </c>
      <c r="C35" s="63">
        <v>-2398</v>
      </c>
      <c r="D35" s="69"/>
      <c r="E35" s="146">
        <v>-759</v>
      </c>
      <c r="F35" s="63">
        <v>1630041</v>
      </c>
    </row>
    <row r="36" spans="1:7" s="94" customFormat="1" ht="13.5" customHeight="1" x14ac:dyDescent="0.2">
      <c r="A36" s="61"/>
      <c r="B36" s="65">
        <f>SUM(B34:B35)</f>
        <v>494</v>
      </c>
      <c r="C36" s="65">
        <f>SUM(C34:C35)</f>
        <v>-4945</v>
      </c>
      <c r="D36" s="69"/>
      <c r="E36" s="147">
        <f>SUM(E34:E35)</f>
        <v>-759</v>
      </c>
      <c r="F36" s="65">
        <f>SUM(F34:F35)</f>
        <v>1627828</v>
      </c>
    </row>
    <row r="37" spans="1:7" s="53" customFormat="1" ht="13.5" customHeight="1" x14ac:dyDescent="0.2">
      <c r="A37" s="27"/>
      <c r="B37" s="69"/>
      <c r="C37" s="69"/>
      <c r="D37" s="69"/>
      <c r="E37" s="145"/>
      <c r="F37" s="62"/>
    </row>
    <row r="38" spans="1:7" ht="13.5" customHeight="1" x14ac:dyDescent="0.2">
      <c r="A38" s="68" t="s">
        <v>174</v>
      </c>
      <c r="B38" s="69">
        <f>B31+B36</f>
        <v>46500</v>
      </c>
      <c r="C38" s="69">
        <f>C31+C36</f>
        <v>203195</v>
      </c>
      <c r="D38" s="69"/>
      <c r="E38" s="145">
        <f>E31+E36</f>
        <v>34605</v>
      </c>
      <c r="F38" s="62">
        <f>F31+F36</f>
        <v>1237455</v>
      </c>
      <c r="G38" s="42"/>
    </row>
    <row r="39" spans="1:7" ht="13.5" customHeight="1" x14ac:dyDescent="0.2">
      <c r="A39" s="68" t="s">
        <v>165</v>
      </c>
      <c r="B39" s="63">
        <v>-34771</v>
      </c>
      <c r="C39" s="63">
        <v>-35255</v>
      </c>
      <c r="D39" s="69"/>
      <c r="E39" s="146">
        <v>1156</v>
      </c>
      <c r="F39" s="63">
        <v>-4626</v>
      </c>
    </row>
    <row r="40" spans="1:7" s="31" customFormat="1" ht="13.5" customHeight="1" x14ac:dyDescent="0.2">
      <c r="A40" s="68"/>
      <c r="B40" s="69"/>
      <c r="C40" s="69"/>
      <c r="D40" s="69"/>
      <c r="E40" s="145"/>
      <c r="F40" s="69"/>
    </row>
    <row r="41" spans="1:7" ht="13.5" customHeight="1" thickBot="1" x14ac:dyDescent="0.25">
      <c r="A41" s="70" t="s">
        <v>166</v>
      </c>
      <c r="B41" s="71">
        <f>B38-B39</f>
        <v>81271</v>
      </c>
      <c r="C41" s="71">
        <f>C38-C39</f>
        <v>238450</v>
      </c>
      <c r="D41" s="269"/>
      <c r="E41" s="148">
        <f>E38-E39</f>
        <v>33449</v>
      </c>
      <c r="F41" s="71">
        <f>F38-F39</f>
        <v>1242081</v>
      </c>
      <c r="G41" s="42"/>
    </row>
    <row r="42" spans="1:7" ht="13.5" customHeight="1" thickTop="1" x14ac:dyDescent="0.2">
      <c r="A42" s="67"/>
      <c r="B42" s="270"/>
      <c r="C42" s="270"/>
      <c r="D42" s="270"/>
      <c r="E42" s="300"/>
      <c r="F42" s="125"/>
    </row>
    <row r="43" spans="1:7" ht="13.5" customHeight="1" x14ac:dyDescent="0.2">
      <c r="A43" s="58" t="s">
        <v>167</v>
      </c>
      <c r="B43" s="271"/>
      <c r="C43" s="271"/>
      <c r="D43" s="271"/>
      <c r="E43" s="149"/>
      <c r="F43" s="72"/>
    </row>
    <row r="44" spans="1:7" ht="13.5" customHeight="1" thickBot="1" x14ac:dyDescent="0.25">
      <c r="A44" s="95" t="s">
        <v>168</v>
      </c>
      <c r="B44" s="272">
        <f>ROUND(B41/B48,2)</f>
        <v>3.75</v>
      </c>
      <c r="C44" s="272">
        <f>ROUND(C41/C48,2)</f>
        <v>10.050000000000001</v>
      </c>
      <c r="D44" s="296"/>
      <c r="E44" s="359">
        <f>ROUND(E41/E48,2)</f>
        <v>1.34</v>
      </c>
      <c r="F44" s="139" t="s">
        <v>161</v>
      </c>
    </row>
    <row r="45" spans="1:7" s="180" customFormat="1" ht="13.5" customHeight="1" thickTop="1" thickBot="1" x14ac:dyDescent="0.25">
      <c r="A45" s="179" t="s">
        <v>169</v>
      </c>
      <c r="B45" s="235">
        <f>ROUND(B41/B49,2)</f>
        <v>3.64</v>
      </c>
      <c r="C45" s="235">
        <f>ROUND(C41/C49,2)</f>
        <v>9.84</v>
      </c>
      <c r="D45" s="297"/>
      <c r="E45" s="359">
        <f>ROUND(E41/E49,2)</f>
        <v>1.31</v>
      </c>
      <c r="F45" s="139" t="s">
        <v>161</v>
      </c>
    </row>
    <row r="46" spans="1:7" ht="13.5" customHeight="1" thickTop="1" x14ac:dyDescent="0.2">
      <c r="A46" s="96"/>
      <c r="B46" s="270"/>
      <c r="C46" s="270"/>
      <c r="D46" s="270"/>
      <c r="E46" s="144"/>
      <c r="F46" s="60"/>
    </row>
    <row r="47" spans="1:7" s="234" customFormat="1" ht="13.5" customHeight="1" x14ac:dyDescent="0.2">
      <c r="A47" s="67" t="s">
        <v>139</v>
      </c>
      <c r="B47" s="270"/>
      <c r="C47" s="270"/>
      <c r="D47" s="270"/>
      <c r="E47" s="144"/>
      <c r="F47" s="60"/>
    </row>
    <row r="48" spans="1:7" ht="13.5" customHeight="1" thickBot="1" x14ac:dyDescent="0.25">
      <c r="A48" s="95" t="s">
        <v>101</v>
      </c>
      <c r="B48" s="273">
        <v>21653</v>
      </c>
      <c r="C48" s="273">
        <v>23725</v>
      </c>
      <c r="D48" s="69"/>
      <c r="E48" s="301">
        <v>25002</v>
      </c>
      <c r="F48" s="140" t="s">
        <v>161</v>
      </c>
    </row>
    <row r="49" spans="1:6" s="180" customFormat="1" ht="13.5" customHeight="1" thickTop="1" thickBot="1" x14ac:dyDescent="0.25">
      <c r="A49" s="179" t="s">
        <v>14</v>
      </c>
      <c r="B49" s="273">
        <v>22333</v>
      </c>
      <c r="C49" s="273">
        <v>24240</v>
      </c>
      <c r="D49" s="69"/>
      <c r="E49" s="301">
        <v>25469</v>
      </c>
      <c r="F49" s="140" t="s">
        <v>161</v>
      </c>
    </row>
    <row r="50" spans="1:6" ht="13.5" customHeight="1" thickTop="1" x14ac:dyDescent="0.2">
      <c r="A50" s="96"/>
      <c r="B50" s="270"/>
      <c r="C50" s="270"/>
      <c r="D50" s="270"/>
      <c r="E50" s="144"/>
      <c r="F50" s="60"/>
    </row>
    <row r="51" spans="1:6" s="234" customFormat="1" ht="13.5" customHeight="1" thickBot="1" x14ac:dyDescent="0.25">
      <c r="A51" s="233" t="s">
        <v>140</v>
      </c>
      <c r="B51" s="235">
        <v>0.35</v>
      </c>
      <c r="C51" s="235">
        <v>1.05</v>
      </c>
      <c r="D51" s="297"/>
      <c r="E51" s="181">
        <v>0</v>
      </c>
      <c r="F51" s="235">
        <v>0</v>
      </c>
    </row>
    <row r="52" spans="1:6" s="234" customFormat="1" ht="13.5" customHeight="1" thickTop="1" x14ac:dyDescent="0.2">
      <c r="A52" s="233"/>
      <c r="B52" s="270"/>
      <c r="C52" s="270"/>
      <c r="D52" s="270"/>
      <c r="E52" s="144"/>
      <c r="F52" s="60"/>
    </row>
    <row r="53" spans="1:6" ht="13.5" customHeight="1" thickBot="1" x14ac:dyDescent="0.25">
      <c r="A53" s="58" t="s">
        <v>108</v>
      </c>
      <c r="B53" s="73">
        <f>'Reconciliation page'!B35</f>
        <v>97621</v>
      </c>
      <c r="C53" s="73">
        <f>'Reconciliation page'!C35</f>
        <v>417757</v>
      </c>
      <c r="D53" s="204"/>
      <c r="E53" s="150">
        <f>'Reconciliation page'!E35</f>
        <v>94497</v>
      </c>
      <c r="F53" s="73">
        <f>'Reconciliation page'!F35</f>
        <v>87303</v>
      </c>
    </row>
    <row r="54" spans="1:6" ht="13.5" customHeight="1" thickTop="1" thickBot="1" x14ac:dyDescent="0.25">
      <c r="A54" s="58" t="s">
        <v>170</v>
      </c>
      <c r="B54" s="274">
        <f>'Reconciliation page'!B74</f>
        <v>4.115824116777862</v>
      </c>
      <c r="C54" s="274">
        <f>'Reconciliation page'!C74</f>
        <v>11.358498349834983</v>
      </c>
      <c r="D54" s="298"/>
      <c r="E54" s="360">
        <f>'Reconciliation page'!E74</f>
        <v>1.6514978994071223</v>
      </c>
      <c r="F54" s="141" t="s">
        <v>161</v>
      </c>
    </row>
    <row r="55" spans="1:6" ht="36.75" customHeight="1" thickTop="1" x14ac:dyDescent="0.2">
      <c r="A55" s="361" t="s">
        <v>96</v>
      </c>
      <c r="B55" s="362"/>
      <c r="C55" s="362"/>
      <c r="D55" s="362"/>
      <c r="E55" s="362"/>
    </row>
    <row r="56" spans="1:6" ht="13.5" customHeight="1" x14ac:dyDescent="0.2">
      <c r="A56" s="27"/>
      <c r="B56" s="27"/>
      <c r="E56" s="27"/>
    </row>
    <row r="57" spans="1:6" ht="13.5" customHeight="1" x14ac:dyDescent="0.2">
      <c r="A57" s="27"/>
      <c r="B57" s="30"/>
      <c r="E57" s="27"/>
    </row>
    <row r="58" spans="1:6" ht="13.5" customHeight="1" x14ac:dyDescent="0.2">
      <c r="A58" s="27"/>
      <c r="B58" s="75"/>
      <c r="E58" s="30"/>
    </row>
    <row r="59" spans="1:6" ht="13.5" customHeight="1" x14ac:dyDescent="0.2">
      <c r="A59" s="27"/>
      <c r="B59" s="27"/>
      <c r="E59" s="27"/>
    </row>
    <row r="60" spans="1:6" ht="13.5" customHeight="1" x14ac:dyDescent="0.2">
      <c r="A60" s="27"/>
      <c r="B60" s="27"/>
      <c r="E60" s="27"/>
    </row>
    <row r="61" spans="1:6" ht="13.5" customHeight="1" x14ac:dyDescent="0.2">
      <c r="A61" s="76"/>
      <c r="B61" s="76"/>
      <c r="E61" s="76"/>
    </row>
    <row r="62" spans="1:6" ht="13.5" customHeight="1" x14ac:dyDescent="0.2">
      <c r="A62" s="76"/>
      <c r="B62" s="76"/>
      <c r="E62" s="76"/>
    </row>
    <row r="63" spans="1:6" ht="13.5" customHeight="1" x14ac:dyDescent="0.2">
      <c r="A63" s="2"/>
      <c r="B63" s="2"/>
      <c r="E63" s="2"/>
    </row>
    <row r="64" spans="1:6" ht="13.5" customHeight="1" x14ac:dyDescent="0.2">
      <c r="A64" s="2"/>
      <c r="B64" s="2"/>
      <c r="E64" s="2"/>
    </row>
    <row r="65" spans="1:5" ht="13.5" customHeight="1" x14ac:dyDescent="0.2">
      <c r="A65" s="2"/>
      <c r="B65" s="2"/>
      <c r="E65" s="2"/>
    </row>
    <row r="66" spans="1:5" ht="13.5" customHeight="1" x14ac:dyDescent="0.2">
      <c r="A66" s="2"/>
      <c r="B66" s="2"/>
      <c r="E66" s="2"/>
    </row>
    <row r="67" spans="1:5" ht="13.5" customHeight="1" x14ac:dyDescent="0.2">
      <c r="A67" s="2"/>
      <c r="B67" s="2"/>
      <c r="E67" s="2"/>
    </row>
    <row r="68" spans="1:5" ht="13.5" customHeight="1" x14ac:dyDescent="0.2">
      <c r="A68" s="2"/>
      <c r="B68" s="2"/>
      <c r="E68" s="2"/>
    </row>
    <row r="69" spans="1:5" ht="13.5" customHeight="1" x14ac:dyDescent="0.2">
      <c r="A69" s="2"/>
      <c r="B69" s="2"/>
      <c r="E69" s="2"/>
    </row>
    <row r="70" spans="1:5" ht="13.5" customHeight="1" x14ac:dyDescent="0.2">
      <c r="A70" s="2"/>
      <c r="B70" s="2"/>
      <c r="E70" s="2"/>
    </row>
    <row r="71" spans="1:5" ht="13.5" customHeight="1" x14ac:dyDescent="0.2">
      <c r="A71" s="2"/>
      <c r="B71" s="2"/>
      <c r="E71" s="2"/>
    </row>
    <row r="72" spans="1:5" ht="13.5" customHeight="1" x14ac:dyDescent="0.2">
      <c r="A72" s="2"/>
      <c r="B72" s="2"/>
      <c r="E72" s="2"/>
    </row>
    <row r="73" spans="1:5" ht="13.5" customHeight="1" x14ac:dyDescent="0.2">
      <c r="A73" s="2"/>
      <c r="B73" s="2"/>
      <c r="E73" s="2"/>
    </row>
    <row r="74" spans="1:5" ht="13.5" customHeight="1" x14ac:dyDescent="0.2">
      <c r="A74" s="2"/>
      <c r="B74" s="2"/>
      <c r="E74" s="2"/>
    </row>
    <row r="75" spans="1:5" ht="13.5" customHeight="1" x14ac:dyDescent="0.2">
      <c r="A75" s="2"/>
      <c r="B75" s="2"/>
      <c r="E75" s="2"/>
    </row>
    <row r="76" spans="1:5" ht="13.5" customHeight="1" x14ac:dyDescent="0.2">
      <c r="A76" s="2"/>
      <c r="B76" s="2"/>
      <c r="E76" s="2"/>
    </row>
    <row r="77" spans="1:5" ht="13.5" customHeight="1" x14ac:dyDescent="0.2">
      <c r="A77" s="2"/>
      <c r="B77" s="2"/>
      <c r="E77" s="2"/>
    </row>
    <row r="78" spans="1:5" ht="13.5" customHeight="1" x14ac:dyDescent="0.2">
      <c r="A78" s="2"/>
      <c r="B78" s="2"/>
      <c r="E78" s="2"/>
    </row>
    <row r="79" spans="1:5" ht="13.5" customHeight="1" x14ac:dyDescent="0.2">
      <c r="A79" s="2"/>
      <c r="B79" s="2"/>
      <c r="E79" s="2"/>
    </row>
    <row r="80" spans="1:5" ht="13.5" customHeight="1" x14ac:dyDescent="0.2">
      <c r="A80" s="2"/>
      <c r="B80" s="2"/>
      <c r="E80" s="2"/>
    </row>
    <row r="81" spans="1:5" ht="13.5" customHeight="1" x14ac:dyDescent="0.2">
      <c r="A81" s="2"/>
      <c r="B81" s="2"/>
      <c r="E81" s="2"/>
    </row>
    <row r="82" spans="1:5" ht="13.5" customHeight="1" x14ac:dyDescent="0.2">
      <c r="A82" s="2"/>
      <c r="B82" s="2"/>
      <c r="E82" s="2"/>
    </row>
    <row r="83" spans="1:5" ht="13.5" customHeight="1" x14ac:dyDescent="0.2">
      <c r="A83" s="2"/>
      <c r="B83" s="2"/>
      <c r="E83" s="2"/>
    </row>
    <row r="84" spans="1:5" ht="13.5" customHeight="1" x14ac:dyDescent="0.2">
      <c r="A84" s="2"/>
      <c r="B84" s="2"/>
      <c r="E84" s="2"/>
    </row>
    <row r="85" spans="1:5" ht="13.5" customHeight="1" x14ac:dyDescent="0.2">
      <c r="A85" s="2"/>
      <c r="B85" s="2"/>
      <c r="E85" s="2"/>
    </row>
    <row r="86" spans="1:5" ht="13.5" customHeight="1" x14ac:dyDescent="0.2">
      <c r="A86" s="2"/>
      <c r="B86" s="2"/>
      <c r="E86" s="2"/>
    </row>
    <row r="87" spans="1:5" ht="13.5" customHeight="1" x14ac:dyDescent="0.2">
      <c r="A87" s="2"/>
      <c r="B87" s="2"/>
      <c r="E87" s="2"/>
    </row>
    <row r="88" spans="1:5" ht="13.5" customHeight="1" x14ac:dyDescent="0.2">
      <c r="A88" s="2"/>
      <c r="B88" s="2"/>
      <c r="E88" s="2"/>
    </row>
    <row r="89" spans="1:5" ht="13.5" customHeight="1" x14ac:dyDescent="0.2">
      <c r="A89" s="2"/>
      <c r="B89" s="2"/>
      <c r="E89" s="2"/>
    </row>
    <row r="90" spans="1:5" ht="13.5" customHeight="1" x14ac:dyDescent="0.2">
      <c r="A90" s="2"/>
      <c r="B90" s="2"/>
      <c r="E90" s="2"/>
    </row>
    <row r="91" spans="1:5" ht="13.5" customHeight="1" x14ac:dyDescent="0.2">
      <c r="A91" s="2"/>
      <c r="B91" s="2"/>
      <c r="E91" s="2"/>
    </row>
    <row r="92" spans="1:5" ht="13.5" customHeight="1" x14ac:dyDescent="0.2">
      <c r="A92" s="2"/>
      <c r="B92" s="2"/>
      <c r="E92" s="2"/>
    </row>
    <row r="93" spans="1:5" ht="13.5" customHeight="1" x14ac:dyDescent="0.2">
      <c r="A93" s="2"/>
      <c r="B93" s="2"/>
      <c r="E93" s="2"/>
    </row>
    <row r="94" spans="1:5" ht="13.5" customHeight="1" x14ac:dyDescent="0.2">
      <c r="A94" s="2"/>
      <c r="B94" s="2"/>
      <c r="E94" s="2"/>
    </row>
    <row r="95" spans="1:5" ht="13.5" customHeight="1" x14ac:dyDescent="0.2">
      <c r="A95" s="2"/>
      <c r="B95" s="2"/>
      <c r="E95" s="2"/>
    </row>
    <row r="96" spans="1:5" ht="13.5" customHeight="1" x14ac:dyDescent="0.2">
      <c r="A96" s="2"/>
      <c r="B96" s="2"/>
      <c r="E96" s="2"/>
    </row>
    <row r="97" spans="1:5" ht="13.5" customHeight="1" x14ac:dyDescent="0.2">
      <c r="A97" s="2"/>
      <c r="B97" s="2"/>
      <c r="E97" s="2"/>
    </row>
    <row r="98" spans="1:5" ht="13.5" customHeight="1" x14ac:dyDescent="0.2">
      <c r="A98" s="2"/>
      <c r="B98" s="2"/>
      <c r="E98" s="2"/>
    </row>
    <row r="99" spans="1:5" ht="13.5" customHeight="1" x14ac:dyDescent="0.2">
      <c r="A99" s="2"/>
      <c r="B99" s="2"/>
      <c r="E99" s="2"/>
    </row>
    <row r="100" spans="1:5" ht="13.5" customHeight="1" x14ac:dyDescent="0.2">
      <c r="A100" s="2"/>
      <c r="B100" s="2"/>
      <c r="E100" s="2"/>
    </row>
    <row r="101" spans="1:5" ht="13.5" customHeight="1" x14ac:dyDescent="0.2">
      <c r="A101" s="2"/>
      <c r="B101" s="2"/>
      <c r="E101" s="2"/>
    </row>
    <row r="102" spans="1:5" ht="13.5" customHeight="1" x14ac:dyDescent="0.2">
      <c r="A102" s="2"/>
      <c r="B102" s="2"/>
      <c r="E102" s="2"/>
    </row>
    <row r="103" spans="1:5" ht="13.5" customHeight="1" x14ac:dyDescent="0.2">
      <c r="A103" s="2"/>
      <c r="B103" s="2"/>
      <c r="E103" s="2"/>
    </row>
    <row r="104" spans="1:5" ht="13.5" customHeight="1" x14ac:dyDescent="0.2">
      <c r="A104" s="2"/>
      <c r="B104" s="2"/>
      <c r="E104" s="2"/>
    </row>
  </sheetData>
  <mergeCells count="5">
    <mergeCell ref="A55:E55"/>
    <mergeCell ref="A1:E1"/>
    <mergeCell ref="A2:E2"/>
    <mergeCell ref="A3:E3"/>
    <mergeCell ref="B6:C6"/>
  </mergeCells>
  <pageMargins left="0.7" right="0.7" top="0.75" bottom="0.75" header="0.3" footer="0.3"/>
  <pageSetup scale="69" orientation="portrait" r:id="rId1"/>
  <ignoredErrors>
    <ignoredError sqref="B5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3"/>
  <sheetViews>
    <sheetView workbookViewId="0">
      <selection activeCell="D9" sqref="D9"/>
    </sheetView>
  </sheetViews>
  <sheetFormatPr defaultColWidth="21.5" defaultRowHeight="13.5" customHeight="1" x14ac:dyDescent="0.2"/>
  <cols>
    <col min="1" max="1" width="65.33203125" style="1" customWidth="1"/>
    <col min="2" max="3" width="15.83203125" style="1" customWidth="1"/>
    <col min="4" max="4" width="21.5" style="1"/>
    <col min="5" max="5" width="26.1640625" style="111" bestFit="1" customWidth="1"/>
    <col min="6" max="16384" width="21.5" style="1"/>
  </cols>
  <sheetData>
    <row r="1" spans="1:7" ht="13.5" customHeight="1" x14ac:dyDescent="0.25">
      <c r="A1" s="363" t="s">
        <v>0</v>
      </c>
      <c r="B1" s="365"/>
      <c r="C1" s="365"/>
    </row>
    <row r="2" spans="1:7" ht="13.5" customHeight="1" x14ac:dyDescent="0.25">
      <c r="A2" s="363" t="s">
        <v>15</v>
      </c>
      <c r="B2" s="365"/>
      <c r="C2" s="365"/>
    </row>
    <row r="3" spans="1:7" ht="13.5" customHeight="1" x14ac:dyDescent="0.25">
      <c r="A3" s="363" t="s">
        <v>16</v>
      </c>
      <c r="B3" s="365"/>
      <c r="C3" s="365"/>
    </row>
    <row r="4" spans="1:7" ht="13.5" customHeight="1" x14ac:dyDescent="0.2">
      <c r="A4" s="3"/>
      <c r="B4" s="3"/>
      <c r="C4" s="3"/>
      <c r="D4" s="3"/>
    </row>
    <row r="5" spans="1:7" s="137" customFormat="1" ht="13.5" customHeight="1" x14ac:dyDescent="0.2">
      <c r="A5" s="136"/>
      <c r="B5" s="202"/>
      <c r="C5" s="202"/>
      <c r="D5" s="136"/>
      <c r="E5" s="111"/>
    </row>
    <row r="6" spans="1:7" ht="13.5" customHeight="1" x14ac:dyDescent="0.2">
      <c r="A6" s="3"/>
      <c r="B6" s="203" t="s">
        <v>71</v>
      </c>
      <c r="C6" s="155" t="s">
        <v>71</v>
      </c>
      <c r="D6" s="3"/>
    </row>
    <row r="7" spans="1:7" ht="13.5" customHeight="1" x14ac:dyDescent="0.2">
      <c r="A7" s="3"/>
      <c r="B7" s="195">
        <v>2017</v>
      </c>
      <c r="C7" s="14">
        <v>2016</v>
      </c>
      <c r="D7" s="3"/>
    </row>
    <row r="8" spans="1:7" ht="13.5" customHeight="1" x14ac:dyDescent="0.2">
      <c r="A8" s="3"/>
      <c r="B8" s="187" t="s">
        <v>4</v>
      </c>
      <c r="C8" s="154"/>
      <c r="D8" s="3"/>
    </row>
    <row r="9" spans="1:7" ht="13.5" customHeight="1" x14ac:dyDescent="0.2">
      <c r="A9" s="5" t="s">
        <v>17</v>
      </c>
      <c r="B9" s="25"/>
      <c r="C9" s="3"/>
      <c r="D9" s="3"/>
    </row>
    <row r="10" spans="1:7" ht="13.5" customHeight="1" x14ac:dyDescent="0.2">
      <c r="A10" s="5" t="s">
        <v>18</v>
      </c>
      <c r="B10" s="25"/>
      <c r="C10" s="3"/>
      <c r="D10" s="3"/>
    </row>
    <row r="11" spans="1:7" ht="13.5" customHeight="1" x14ac:dyDescent="0.2">
      <c r="A11" s="6" t="s">
        <v>19</v>
      </c>
      <c r="B11" s="204">
        <v>273387</v>
      </c>
      <c r="C11" s="78">
        <v>305372</v>
      </c>
      <c r="D11" s="3"/>
    </row>
    <row r="12" spans="1:7" ht="13.5" customHeight="1" x14ac:dyDescent="0.2">
      <c r="A12" s="6" t="s">
        <v>20</v>
      </c>
      <c r="B12" s="29">
        <v>155846</v>
      </c>
      <c r="C12" s="80">
        <v>88072</v>
      </c>
      <c r="D12" s="3"/>
    </row>
    <row r="13" spans="1:7" s="53" customFormat="1" ht="13.5" customHeight="1" x14ac:dyDescent="0.2">
      <c r="A13" s="6" t="s">
        <v>80</v>
      </c>
      <c r="B13" s="29">
        <v>0</v>
      </c>
      <c r="C13" s="80">
        <v>71050</v>
      </c>
      <c r="D13" s="52"/>
      <c r="E13" s="111"/>
    </row>
    <row r="14" spans="1:7" ht="13.5" customHeight="1" x14ac:dyDescent="0.2">
      <c r="A14" s="6" t="s">
        <v>21</v>
      </c>
      <c r="B14" s="29">
        <v>172604</v>
      </c>
      <c r="C14" s="80">
        <v>184483</v>
      </c>
      <c r="D14" s="3"/>
      <c r="F14" s="253"/>
      <c r="G14" s="253"/>
    </row>
    <row r="15" spans="1:7" ht="13.5" customHeight="1" x14ac:dyDescent="0.2">
      <c r="A15" s="6" t="s">
        <v>22</v>
      </c>
      <c r="B15" s="29">
        <v>29771</v>
      </c>
      <c r="C15" s="80">
        <v>19877</v>
      </c>
      <c r="D15" s="3"/>
      <c r="F15" s="253"/>
      <c r="G15" s="253"/>
    </row>
    <row r="16" spans="1:7" ht="13.5" customHeight="1" x14ac:dyDescent="0.2">
      <c r="A16" s="6" t="s">
        <v>23</v>
      </c>
      <c r="B16" s="29">
        <v>128960</v>
      </c>
      <c r="C16" s="80">
        <v>113462</v>
      </c>
      <c r="D16" s="3"/>
      <c r="F16" s="253"/>
      <c r="G16" s="253"/>
    </row>
    <row r="17" spans="1:7" ht="13.5" hidden="1" customHeight="1" x14ac:dyDescent="0.2">
      <c r="A17" s="6" t="s">
        <v>24</v>
      </c>
      <c r="B17" s="29"/>
      <c r="C17" s="80">
        <v>0</v>
      </c>
      <c r="D17" s="3"/>
      <c r="F17" s="253"/>
      <c r="G17" s="253"/>
    </row>
    <row r="18" spans="1:7" s="36" customFormat="1" ht="13.5" hidden="1" customHeight="1" x14ac:dyDescent="0.2">
      <c r="A18" s="6" t="s">
        <v>26</v>
      </c>
      <c r="B18" s="29"/>
      <c r="C18" s="26">
        <v>0</v>
      </c>
      <c r="D18" s="35"/>
      <c r="E18" s="111"/>
      <c r="F18" s="253"/>
      <c r="G18" s="253"/>
    </row>
    <row r="19" spans="1:7" ht="13.5" hidden="1" customHeight="1" x14ac:dyDescent="0.2">
      <c r="A19" s="6" t="s">
        <v>25</v>
      </c>
      <c r="B19" s="29"/>
      <c r="C19" s="80">
        <v>0</v>
      </c>
      <c r="D19" s="3"/>
      <c r="F19" s="253"/>
      <c r="G19" s="253"/>
    </row>
    <row r="20" spans="1:7" ht="13.5" customHeight="1" x14ac:dyDescent="0.2">
      <c r="A20" s="6" t="s">
        <v>27</v>
      </c>
      <c r="B20" s="81">
        <f>391+69820+215</f>
        <v>70426</v>
      </c>
      <c r="C20" s="82">
        <f>93763+2281+262</f>
        <v>96306</v>
      </c>
      <c r="D20" s="110"/>
      <c r="F20" s="253"/>
      <c r="G20" s="253"/>
    </row>
    <row r="21" spans="1:7" ht="13.5" customHeight="1" x14ac:dyDescent="0.2">
      <c r="A21" s="6" t="s">
        <v>28</v>
      </c>
      <c r="B21" s="205">
        <f>SUM(B11:B20)</f>
        <v>830994</v>
      </c>
      <c r="C21" s="80">
        <f>SUM(C11:C20)</f>
        <v>878622</v>
      </c>
      <c r="D21" s="110"/>
      <c r="F21" s="253"/>
      <c r="G21" s="253"/>
    </row>
    <row r="22" spans="1:7" ht="13.5" customHeight="1" x14ac:dyDescent="0.2">
      <c r="A22" s="3"/>
      <c r="B22" s="182"/>
      <c r="C22" s="79"/>
      <c r="D22" s="3"/>
      <c r="F22" s="253"/>
      <c r="G22" s="253"/>
    </row>
    <row r="23" spans="1:7" ht="13.5" customHeight="1" x14ac:dyDescent="0.2">
      <c r="A23" s="5" t="s">
        <v>29</v>
      </c>
      <c r="B23" s="118">
        <v>955948</v>
      </c>
      <c r="C23" s="80">
        <v>1053603</v>
      </c>
      <c r="D23" s="3"/>
      <c r="E23" s="114"/>
      <c r="F23" s="253"/>
      <c r="G23" s="253"/>
    </row>
    <row r="24" spans="1:7" ht="13.5" customHeight="1" x14ac:dyDescent="0.2">
      <c r="A24" s="3"/>
      <c r="B24" s="182"/>
      <c r="C24" s="79"/>
      <c r="D24" s="3"/>
    </row>
    <row r="25" spans="1:7" ht="13.5" customHeight="1" x14ac:dyDescent="0.2">
      <c r="A25" s="5" t="s">
        <v>30</v>
      </c>
      <c r="B25" s="182"/>
      <c r="C25" s="79"/>
      <c r="D25" s="3"/>
    </row>
    <row r="26" spans="1:7" ht="13.5" customHeight="1" x14ac:dyDescent="0.2">
      <c r="A26" s="6" t="s">
        <v>31</v>
      </c>
      <c r="B26" s="29">
        <v>106107</v>
      </c>
      <c r="C26" s="80">
        <v>96074</v>
      </c>
      <c r="D26" s="3"/>
    </row>
    <row r="27" spans="1:7" ht="13.5" customHeight="1" x14ac:dyDescent="0.2">
      <c r="A27" s="6" t="s">
        <v>32</v>
      </c>
      <c r="B27" s="81">
        <f>22520+5+4280+59778</f>
        <v>86583</v>
      </c>
      <c r="C27" s="82">
        <v>108298</v>
      </c>
      <c r="D27" s="3"/>
    </row>
    <row r="28" spans="1:7" ht="13.5" customHeight="1" x14ac:dyDescent="0.2">
      <c r="A28" s="9" t="s">
        <v>33</v>
      </c>
      <c r="B28" s="82">
        <f>SUM(B26:B27)</f>
        <v>192690</v>
      </c>
      <c r="C28" s="82">
        <f>SUM(C26:C27)</f>
        <v>204372</v>
      </c>
      <c r="D28" s="3"/>
    </row>
    <row r="29" spans="1:7" ht="13.5" customHeight="1" thickBot="1" x14ac:dyDescent="0.25">
      <c r="A29" s="10" t="s">
        <v>34</v>
      </c>
      <c r="B29" s="83">
        <f>+B28+B23+B21</f>
        <v>1979632</v>
      </c>
      <c r="C29" s="83">
        <f>+C21+C23+C28</f>
        <v>2136597</v>
      </c>
      <c r="D29" s="3"/>
    </row>
    <row r="30" spans="1:7" ht="13.5" customHeight="1" thickTop="1" x14ac:dyDescent="0.2">
      <c r="A30" s="3"/>
      <c r="B30" s="182"/>
      <c r="C30" s="79"/>
      <c r="D30" s="3"/>
    </row>
    <row r="31" spans="1:7" ht="13.5" customHeight="1" x14ac:dyDescent="0.2">
      <c r="A31" s="5" t="s">
        <v>122</v>
      </c>
      <c r="B31" s="182"/>
      <c r="C31" s="79"/>
      <c r="D31" s="3"/>
    </row>
    <row r="32" spans="1:7" ht="13.5" customHeight="1" x14ac:dyDescent="0.2">
      <c r="A32" s="153" t="s">
        <v>91</v>
      </c>
      <c r="B32" s="182"/>
      <c r="C32" s="79"/>
      <c r="D32" s="3"/>
    </row>
    <row r="33" spans="1:4" ht="13.5" customHeight="1" x14ac:dyDescent="0.2">
      <c r="A33" s="6" t="s">
        <v>35</v>
      </c>
      <c r="B33" s="189">
        <f>134134+3</f>
        <v>134137</v>
      </c>
      <c r="C33" s="78">
        <v>95953</v>
      </c>
      <c r="D33" s="3"/>
    </row>
    <row r="34" spans="1:4" ht="13.5" customHeight="1" x14ac:dyDescent="0.2">
      <c r="A34" s="6" t="s">
        <v>36</v>
      </c>
      <c r="B34" s="29">
        <f>184103+58</f>
        <v>184161</v>
      </c>
      <c r="C34" s="80">
        <v>205240</v>
      </c>
      <c r="D34" s="3"/>
    </row>
    <row r="35" spans="1:4" ht="13.5" customHeight="1" x14ac:dyDescent="0.2">
      <c r="A35" s="6" t="s">
        <v>37</v>
      </c>
      <c r="B35" s="82">
        <v>15783</v>
      </c>
      <c r="C35" s="82">
        <v>11038</v>
      </c>
      <c r="D35" s="3"/>
    </row>
    <row r="36" spans="1:4" ht="13.5" customHeight="1" x14ac:dyDescent="0.2">
      <c r="A36" s="9" t="s">
        <v>38</v>
      </c>
      <c r="B36" s="118">
        <f>SUM(B33:B35)</f>
        <v>334081</v>
      </c>
      <c r="C36" s="80">
        <f>SUM(C33:C35)</f>
        <v>312231</v>
      </c>
      <c r="D36" s="3"/>
    </row>
    <row r="37" spans="1:4" ht="13.5" customHeight="1" x14ac:dyDescent="0.2">
      <c r="A37" s="6" t="s">
        <v>39</v>
      </c>
      <c r="B37" s="118">
        <v>310134</v>
      </c>
      <c r="C37" s="80">
        <v>351841</v>
      </c>
      <c r="D37" s="3"/>
    </row>
    <row r="38" spans="1:4" ht="13.5" customHeight="1" x14ac:dyDescent="0.2">
      <c r="A38" s="6" t="s">
        <v>40</v>
      </c>
      <c r="B38" s="29">
        <v>308855</v>
      </c>
      <c r="C38" s="80">
        <v>337227</v>
      </c>
      <c r="D38" s="3"/>
    </row>
    <row r="39" spans="1:4" ht="13.5" customHeight="1" x14ac:dyDescent="0.2">
      <c r="A39" s="6" t="s">
        <v>41</v>
      </c>
      <c r="B39" s="118">
        <v>14036</v>
      </c>
      <c r="C39" s="80">
        <v>38884</v>
      </c>
      <c r="D39" s="3"/>
    </row>
    <row r="40" spans="1:4" ht="13.5" customHeight="1" x14ac:dyDescent="0.2">
      <c r="A40" s="6" t="s">
        <v>42</v>
      </c>
      <c r="B40" s="118">
        <v>102369</v>
      </c>
      <c r="C40" s="80">
        <v>101445</v>
      </c>
      <c r="D40" s="3"/>
    </row>
    <row r="41" spans="1:4" ht="13.5" customHeight="1" x14ac:dyDescent="0.2">
      <c r="A41" s="6" t="s">
        <v>43</v>
      </c>
      <c r="B41" s="118">
        <v>184835</v>
      </c>
      <c r="C41" s="80">
        <v>184568</v>
      </c>
      <c r="D41" s="3"/>
    </row>
    <row r="42" spans="1:4" ht="13.5" hidden="1" customHeight="1" x14ac:dyDescent="0.2">
      <c r="A42" s="6" t="s">
        <v>26</v>
      </c>
      <c r="B42" s="118"/>
      <c r="C42" s="80">
        <v>0</v>
      </c>
      <c r="D42" s="3"/>
    </row>
    <row r="43" spans="1:4" ht="13.5" customHeight="1" x14ac:dyDescent="0.2">
      <c r="A43" s="6" t="s">
        <v>44</v>
      </c>
      <c r="B43" s="81">
        <f>59433+21+3</f>
        <v>59457</v>
      </c>
      <c r="C43" s="82">
        <v>63824</v>
      </c>
      <c r="D43" s="3"/>
    </row>
    <row r="44" spans="1:4" ht="13.5" customHeight="1" x14ac:dyDescent="0.2">
      <c r="A44" s="9" t="s">
        <v>92</v>
      </c>
      <c r="B44" s="118">
        <f>SUM(B36:B43)</f>
        <v>1313767</v>
      </c>
      <c r="C44" s="80">
        <f>SUM(C36:C43)</f>
        <v>1390020</v>
      </c>
      <c r="D44" s="11"/>
    </row>
    <row r="45" spans="1:4" ht="13.5" customHeight="1" x14ac:dyDescent="0.2">
      <c r="A45" s="3"/>
      <c r="B45" s="182"/>
      <c r="C45" s="79"/>
      <c r="D45" s="3"/>
    </row>
    <row r="46" spans="1:4" ht="13.5" customHeight="1" x14ac:dyDescent="0.2">
      <c r="A46" s="5" t="s">
        <v>121</v>
      </c>
      <c r="B46" s="182"/>
      <c r="C46" s="79"/>
      <c r="D46" s="3"/>
    </row>
    <row r="47" spans="1:4" ht="13.5" customHeight="1" x14ac:dyDescent="0.2">
      <c r="A47" s="6" t="s">
        <v>45</v>
      </c>
      <c r="B47" s="118">
        <v>250</v>
      </c>
      <c r="C47" s="80">
        <v>250</v>
      </c>
      <c r="D47" s="3"/>
    </row>
    <row r="48" spans="1:4" ht="13.5" customHeight="1" x14ac:dyDescent="0.2">
      <c r="A48" s="6" t="s">
        <v>46</v>
      </c>
      <c r="B48" s="118">
        <v>700125</v>
      </c>
      <c r="C48" s="80">
        <v>688424</v>
      </c>
      <c r="D48" s="3"/>
    </row>
    <row r="49" spans="1:6" ht="13.5" customHeight="1" x14ac:dyDescent="0.2">
      <c r="A49" s="6" t="s">
        <v>134</v>
      </c>
      <c r="B49" s="29">
        <v>247232</v>
      </c>
      <c r="C49" s="80">
        <v>33449</v>
      </c>
      <c r="D49" s="11"/>
      <c r="F49" s="184"/>
    </row>
    <row r="50" spans="1:6" s="227" customFormat="1" ht="13.5" customHeight="1" x14ac:dyDescent="0.2">
      <c r="A50" s="6" t="s">
        <v>136</v>
      </c>
      <c r="B50" s="29">
        <v>-302109</v>
      </c>
      <c r="C50" s="80">
        <v>0</v>
      </c>
      <c r="D50" s="11"/>
      <c r="E50" s="111"/>
      <c r="F50" s="184"/>
    </row>
    <row r="51" spans="1:6" ht="13.5" customHeight="1" x14ac:dyDescent="0.2">
      <c r="A51" s="6" t="s">
        <v>128</v>
      </c>
      <c r="B51" s="82">
        <v>20367</v>
      </c>
      <c r="C51" s="82">
        <v>24454</v>
      </c>
      <c r="D51" s="110"/>
    </row>
    <row r="52" spans="1:6" ht="13.5" customHeight="1" x14ac:dyDescent="0.2">
      <c r="A52" s="9" t="s">
        <v>129</v>
      </c>
      <c r="B52" s="84">
        <f>SUM(B47:B51)</f>
        <v>665865</v>
      </c>
      <c r="C52" s="84">
        <f>SUM(C47:C51)</f>
        <v>746577</v>
      </c>
      <c r="D52" s="3"/>
    </row>
    <row r="53" spans="1:6" ht="13.5" customHeight="1" thickBot="1" x14ac:dyDescent="0.25">
      <c r="A53" s="10" t="s">
        <v>130</v>
      </c>
      <c r="B53" s="83">
        <f>+B44+B52</f>
        <v>1979632</v>
      </c>
      <c r="C53" s="83">
        <f>+C44+C52</f>
        <v>2136597</v>
      </c>
      <c r="D53" s="3"/>
    </row>
    <row r="54" spans="1:6" ht="13.5" customHeight="1" thickTop="1" x14ac:dyDescent="0.2">
      <c r="A54" s="3"/>
      <c r="B54" s="3"/>
      <c r="C54" s="3"/>
      <c r="D54" s="3"/>
    </row>
    <row r="55" spans="1:6" ht="13.5" customHeight="1" x14ac:dyDescent="0.2">
      <c r="B55" s="42"/>
      <c r="C55" s="42"/>
    </row>
    <row r="56" spans="1:6" ht="13.5" customHeight="1" x14ac:dyDescent="0.2">
      <c r="B56" s="124"/>
      <c r="C56" s="42"/>
      <c r="E56" s="111" t="s">
        <v>144</v>
      </c>
      <c r="F56" s="124">
        <f>C49</f>
        <v>33449</v>
      </c>
    </row>
    <row r="57" spans="1:6" ht="13.5" customHeight="1" x14ac:dyDescent="0.2">
      <c r="B57" s="42"/>
      <c r="E57" s="111" t="s">
        <v>145</v>
      </c>
      <c r="F57" s="124">
        <f>'Statements of Operations'!C41</f>
        <v>238450</v>
      </c>
    </row>
    <row r="58" spans="1:6" ht="13.5" customHeight="1" x14ac:dyDescent="0.2">
      <c r="B58" s="42"/>
      <c r="E58" s="111" t="s">
        <v>146</v>
      </c>
      <c r="F58" s="251">
        <f>-F62-F63</f>
        <v>-24667</v>
      </c>
    </row>
    <row r="59" spans="1:6" ht="13.5" customHeight="1" x14ac:dyDescent="0.2">
      <c r="F59" s="124"/>
    </row>
    <row r="60" spans="1:6" ht="13.5" customHeight="1" thickBot="1" x14ac:dyDescent="0.25">
      <c r="F60" s="252">
        <f>SUM(F56:F59)</f>
        <v>247232</v>
      </c>
    </row>
    <row r="61" spans="1:6" ht="13.5" customHeight="1" thickTop="1" x14ac:dyDescent="0.2">
      <c r="F61" s="124"/>
    </row>
    <row r="62" spans="1:6" ht="13.5" customHeight="1" x14ac:dyDescent="0.2">
      <c r="E62" s="111" t="s">
        <v>53</v>
      </c>
      <c r="F62" s="124">
        <v>24369</v>
      </c>
    </row>
    <row r="63" spans="1:6" ht="13.5" customHeight="1" x14ac:dyDescent="0.2">
      <c r="E63" s="111" t="s">
        <v>147</v>
      </c>
      <c r="F63" s="42">
        <f>24667-F62</f>
        <v>298</v>
      </c>
    </row>
  </sheetData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96"/>
  <sheetViews>
    <sheetView topLeftCell="A19" workbookViewId="0">
      <selection activeCell="D6" sqref="D6:E7"/>
    </sheetView>
  </sheetViews>
  <sheetFormatPr defaultColWidth="21.5" defaultRowHeight="12.75" x14ac:dyDescent="0.2"/>
  <cols>
    <col min="1" max="1" width="75.6640625" style="23" customWidth="1"/>
    <col min="2" max="2" width="17.5" style="23" customWidth="1"/>
    <col min="3" max="3" width="4.83203125" style="38" customWidth="1"/>
    <col min="4" max="4" width="17.5" style="277" customWidth="1"/>
    <col min="5" max="5" width="17.5" style="137" customWidth="1"/>
    <col min="6" max="6" width="21.5" style="23" customWidth="1"/>
    <col min="7" max="8" width="17.5" style="311" customWidth="1"/>
    <col min="9" max="16384" width="21.5" style="23"/>
  </cols>
  <sheetData>
    <row r="1" spans="1:25" ht="14.25" customHeight="1" x14ac:dyDescent="0.25">
      <c r="A1" s="363" t="s">
        <v>0</v>
      </c>
      <c r="B1" s="366"/>
      <c r="C1" s="366"/>
      <c r="D1" s="366"/>
      <c r="E1" s="366"/>
      <c r="F1" s="21"/>
      <c r="G1" s="21"/>
      <c r="H1" s="310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4.25" customHeight="1" x14ac:dyDescent="0.25">
      <c r="A2" s="363" t="s">
        <v>70</v>
      </c>
      <c r="B2" s="366"/>
      <c r="C2" s="366"/>
      <c r="D2" s="366"/>
      <c r="E2" s="366"/>
      <c r="F2" s="21"/>
      <c r="G2" s="21"/>
      <c r="H2" s="310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14.25" customHeight="1" x14ac:dyDescent="0.25">
      <c r="A3" s="363" t="s">
        <v>16</v>
      </c>
      <c r="B3" s="366"/>
      <c r="C3" s="366"/>
      <c r="D3" s="366"/>
      <c r="E3" s="366"/>
      <c r="F3" s="21"/>
      <c r="G3" s="21"/>
      <c r="H3" s="310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6.75" customHeight="1" x14ac:dyDescent="0.2">
      <c r="A4" s="22"/>
      <c r="B4" s="21"/>
      <c r="C4" s="25"/>
      <c r="D4" s="276"/>
      <c r="E4" s="136"/>
      <c r="F4" s="21"/>
      <c r="G4" s="310"/>
      <c r="H4" s="310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18.75" customHeight="1" x14ac:dyDescent="0.2">
      <c r="A5" s="21"/>
      <c r="B5" s="21"/>
      <c r="C5" s="25"/>
      <c r="D5" s="276"/>
      <c r="E5" s="136"/>
      <c r="F5" s="21"/>
      <c r="G5" s="310"/>
      <c r="H5" s="31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13.5" customHeight="1" x14ac:dyDescent="0.2">
      <c r="A6" s="21"/>
      <c r="B6" s="307" t="s">
        <v>90</v>
      </c>
      <c r="C6" s="299"/>
      <c r="D6" s="289" t="s">
        <v>90</v>
      </c>
      <c r="E6" s="195" t="s">
        <v>89</v>
      </c>
      <c r="F6" s="21"/>
      <c r="G6" s="309" t="s">
        <v>90</v>
      </c>
      <c r="H6" s="309" t="s">
        <v>90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45" x14ac:dyDescent="0.2">
      <c r="A7" s="21"/>
      <c r="B7" s="195" t="s">
        <v>159</v>
      </c>
      <c r="C7" s="295"/>
      <c r="D7" s="228" t="s">
        <v>163</v>
      </c>
      <c r="E7" s="195" t="s">
        <v>162</v>
      </c>
      <c r="F7" s="21"/>
      <c r="G7" s="309" t="s">
        <v>180</v>
      </c>
      <c r="H7" s="309" t="s">
        <v>158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13.5" customHeight="1" x14ac:dyDescent="0.2">
      <c r="A8" s="21"/>
      <c r="B8" s="268" t="s">
        <v>4</v>
      </c>
      <c r="C8" s="187"/>
      <c r="D8" s="292"/>
      <c r="E8" s="187"/>
      <c r="F8" s="21"/>
      <c r="G8" s="268" t="s">
        <v>4</v>
      </c>
      <c r="H8" s="268" t="s">
        <v>4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13.5" customHeight="1" x14ac:dyDescent="0.2">
      <c r="A9" s="24" t="s">
        <v>69</v>
      </c>
      <c r="B9" s="25"/>
      <c r="C9" s="25"/>
      <c r="D9" s="142"/>
      <c r="E9" s="136"/>
      <c r="F9" s="21"/>
      <c r="G9" s="25"/>
      <c r="H9" s="25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3.5" customHeight="1" x14ac:dyDescent="0.2">
      <c r="A10" s="20" t="s">
        <v>166</v>
      </c>
      <c r="B10" s="204">
        <f>'Statements of Operations'!C41</f>
        <v>238450</v>
      </c>
      <c r="C10" s="204"/>
      <c r="D10" s="156">
        <f>'Statements of Operations'!E41</f>
        <v>33449</v>
      </c>
      <c r="E10" s="77">
        <f>'Statements of Operations'!F41</f>
        <v>1242081</v>
      </c>
      <c r="F10" s="11"/>
      <c r="G10" s="204">
        <v>157179</v>
      </c>
      <c r="H10" s="204">
        <f>B10-G10</f>
        <v>81271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ht="13.5" customHeight="1" x14ac:dyDescent="0.2">
      <c r="A11" s="20" t="s">
        <v>179</v>
      </c>
      <c r="B11" s="128"/>
      <c r="C11" s="128"/>
      <c r="D11" s="166"/>
      <c r="E11" s="135"/>
      <c r="F11" s="21"/>
      <c r="G11" s="128"/>
      <c r="H11" s="128"/>
      <c r="I11" s="21"/>
      <c r="J11" s="21" t="s">
        <v>181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3.5" customHeight="1" x14ac:dyDescent="0.2">
      <c r="A12" s="6" t="s">
        <v>8</v>
      </c>
      <c r="B12" s="29">
        <f>'Statements of Operations'!C14</f>
        <v>122464</v>
      </c>
      <c r="C12" s="29"/>
      <c r="D12" s="157">
        <f>'Statements of Operations'!E14</f>
        <v>32604</v>
      </c>
      <c r="E12" s="26">
        <f>'Statements of Operations'!F14</f>
        <v>191581</v>
      </c>
      <c r="F12" s="21"/>
      <c r="G12" s="29">
        <v>94536</v>
      </c>
      <c r="H12" s="29">
        <f>B12-G12</f>
        <v>27928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s="137" customFormat="1" ht="13.5" customHeight="1" x14ac:dyDescent="0.2">
      <c r="A13" s="6" t="s">
        <v>94</v>
      </c>
      <c r="B13" s="29">
        <f>'Statements of Operations'!C15</f>
        <v>30209</v>
      </c>
      <c r="C13" s="29"/>
      <c r="D13" s="157">
        <f>'Statements of Operations'!E15</f>
        <v>7634</v>
      </c>
      <c r="E13" s="26">
        <f>'Statements of Operations'!F15</f>
        <v>24321</v>
      </c>
      <c r="F13" s="136"/>
      <c r="G13" s="29">
        <v>22826</v>
      </c>
      <c r="H13" s="29">
        <f t="shared" ref="H13:H29" si="0">B13-G13</f>
        <v>7383</v>
      </c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</row>
    <row r="14" spans="1:25" ht="13.5" customHeight="1" x14ac:dyDescent="0.2">
      <c r="A14" s="6" t="s">
        <v>102</v>
      </c>
      <c r="B14" s="29">
        <f>'Statements of Operations'!C16</f>
        <v>53985</v>
      </c>
      <c r="C14" s="29"/>
      <c r="D14" s="157">
        <f>'Statements of Operations'!E16</f>
        <v>796</v>
      </c>
      <c r="E14" s="26">
        <f>'Statements of Operations'!F16</f>
        <v>-728</v>
      </c>
      <c r="F14" s="21"/>
      <c r="G14" s="29">
        <v>42903</v>
      </c>
      <c r="H14" s="29">
        <f t="shared" si="0"/>
        <v>11082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13.5" customHeight="1" x14ac:dyDescent="0.2">
      <c r="A15" s="6" t="s">
        <v>68</v>
      </c>
      <c r="B15" s="29">
        <v>2905</v>
      </c>
      <c r="C15" s="29"/>
      <c r="D15" s="157">
        <v>2587</v>
      </c>
      <c r="E15" s="26">
        <v>4791</v>
      </c>
      <c r="F15" s="11"/>
      <c r="G15" s="29">
        <v>2905</v>
      </c>
      <c r="H15" s="29">
        <f t="shared" si="0"/>
        <v>0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s="98" customFormat="1" ht="13.5" customHeight="1" x14ac:dyDescent="0.2">
      <c r="A16" s="6" t="s">
        <v>26</v>
      </c>
      <c r="B16" s="29">
        <v>-21965</v>
      </c>
      <c r="C16" s="29"/>
      <c r="D16" s="157">
        <v>3</v>
      </c>
      <c r="E16" s="26">
        <v>-419</v>
      </c>
      <c r="F16" s="11"/>
      <c r="G16" s="29">
        <v>6069</v>
      </c>
      <c r="H16" s="29">
        <f t="shared" si="0"/>
        <v>-28034</v>
      </c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</row>
    <row r="17" spans="1:25" ht="13.5" customHeight="1" x14ac:dyDescent="0.2">
      <c r="A17" s="6" t="s">
        <v>67</v>
      </c>
      <c r="B17" s="29">
        <v>10437</v>
      </c>
      <c r="C17" s="29"/>
      <c r="D17" s="157">
        <v>1032</v>
      </c>
      <c r="E17" s="26">
        <v>2096</v>
      </c>
      <c r="F17" s="21"/>
      <c r="G17" s="29">
        <v>7485</v>
      </c>
      <c r="H17" s="29">
        <f t="shared" si="0"/>
        <v>2952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s="98" customFormat="1" ht="13.5" customHeight="1" x14ac:dyDescent="0.2">
      <c r="A18" s="6" t="s">
        <v>66</v>
      </c>
      <c r="B18" s="29">
        <f>-360-1131-21297-1207-332</f>
        <v>-24327</v>
      </c>
      <c r="C18" s="29"/>
      <c r="D18" s="157">
        <v>-485</v>
      </c>
      <c r="E18" s="26">
        <v>-6628</v>
      </c>
      <c r="F18" s="97"/>
      <c r="G18" s="29">
        <v>-23006</v>
      </c>
      <c r="H18" s="29">
        <f t="shared" si="0"/>
        <v>-1321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</row>
    <row r="19" spans="1:25" s="50" customFormat="1" ht="13.5" customHeight="1" x14ac:dyDescent="0.2">
      <c r="A19" s="6" t="s">
        <v>81</v>
      </c>
      <c r="B19" s="29">
        <v>0</v>
      </c>
      <c r="C19" s="29"/>
      <c r="D19" s="157">
        <v>0</v>
      </c>
      <c r="E19" s="26">
        <v>119194</v>
      </c>
      <c r="F19" s="49"/>
      <c r="G19" s="29">
        <v>0</v>
      </c>
      <c r="H19" s="29">
        <f t="shared" si="0"/>
        <v>0</v>
      </c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</row>
    <row r="20" spans="1:25" s="113" customFormat="1" ht="13.5" customHeight="1" x14ac:dyDescent="0.2">
      <c r="A20" s="61" t="s">
        <v>82</v>
      </c>
      <c r="B20" s="29">
        <v>2547</v>
      </c>
      <c r="C20" s="29"/>
      <c r="D20" s="157">
        <v>0</v>
      </c>
      <c r="E20" s="26">
        <v>2213</v>
      </c>
      <c r="F20" s="112"/>
      <c r="G20" s="29">
        <v>2547</v>
      </c>
      <c r="H20" s="29">
        <f t="shared" si="0"/>
        <v>0</v>
      </c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</row>
    <row r="21" spans="1:25" s="92" customFormat="1" ht="13.5" customHeight="1" x14ac:dyDescent="0.2">
      <c r="A21" s="61" t="s">
        <v>86</v>
      </c>
      <c r="B21" s="29">
        <v>0</v>
      </c>
      <c r="C21" s="29"/>
      <c r="D21" s="157">
        <v>0</v>
      </c>
      <c r="E21" s="26">
        <v>-1775910</v>
      </c>
      <c r="F21" s="91"/>
      <c r="G21" s="29">
        <v>0</v>
      </c>
      <c r="H21" s="29">
        <f t="shared" si="0"/>
        <v>0</v>
      </c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</row>
    <row r="22" spans="1:25" ht="13.5" customHeight="1" x14ac:dyDescent="0.2">
      <c r="A22" s="6" t="s">
        <v>65</v>
      </c>
      <c r="B22" s="29">
        <v>3736</v>
      </c>
      <c r="C22" s="29"/>
      <c r="D22" s="157">
        <v>467</v>
      </c>
      <c r="E22" s="26">
        <v>12800</v>
      </c>
      <c r="F22" s="21"/>
      <c r="G22" s="29">
        <v>2628</v>
      </c>
      <c r="H22" s="29">
        <f t="shared" si="0"/>
        <v>1108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s="98" customFormat="1" ht="13.5" hidden="1" customHeight="1" x14ac:dyDescent="0.2">
      <c r="A23" s="6" t="s">
        <v>82</v>
      </c>
      <c r="B23" s="29"/>
      <c r="C23" s="29"/>
      <c r="D23" s="157"/>
      <c r="E23" s="26"/>
      <c r="F23" s="97"/>
      <c r="G23" s="29"/>
      <c r="H23" s="29">
        <f t="shared" si="0"/>
        <v>0</v>
      </c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</row>
    <row r="24" spans="1:25" ht="13.5" customHeight="1" x14ac:dyDescent="0.2">
      <c r="A24" s="6" t="s">
        <v>64</v>
      </c>
      <c r="B24" s="128"/>
      <c r="C24" s="128"/>
      <c r="D24" s="166"/>
      <c r="E24" s="26"/>
      <c r="F24" s="21"/>
      <c r="G24" s="128"/>
      <c r="H24" s="29">
        <f t="shared" si="0"/>
        <v>0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3.5" customHeight="1" x14ac:dyDescent="0.2">
      <c r="A25" s="9" t="s">
        <v>63</v>
      </c>
      <c r="B25" s="29">
        <v>8370</v>
      </c>
      <c r="C25" s="29"/>
      <c r="D25" s="157">
        <v>-22196</v>
      </c>
      <c r="E25" s="26">
        <v>-42786</v>
      </c>
      <c r="F25" s="21"/>
      <c r="G25" s="29">
        <v>-24110</v>
      </c>
      <c r="H25" s="29">
        <f t="shared" si="0"/>
        <v>32480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3.5" customHeight="1" x14ac:dyDescent="0.2">
      <c r="A26" s="9" t="s">
        <v>23</v>
      </c>
      <c r="B26" s="29">
        <v>-19626</v>
      </c>
      <c r="C26" s="29"/>
      <c r="D26" s="157">
        <v>24870</v>
      </c>
      <c r="E26" s="26">
        <v>34440</v>
      </c>
      <c r="F26" s="21"/>
      <c r="G26" s="29">
        <v>-13102</v>
      </c>
      <c r="H26" s="29">
        <f t="shared" si="0"/>
        <v>-6524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3.5" customHeight="1" x14ac:dyDescent="0.2">
      <c r="A27" s="9" t="s">
        <v>62</v>
      </c>
      <c r="B27" s="29">
        <v>17173</v>
      </c>
      <c r="C27" s="29"/>
      <c r="D27" s="157">
        <v>34129</v>
      </c>
      <c r="E27" s="26">
        <v>15316</v>
      </c>
      <c r="F27" s="11"/>
      <c r="G27" s="29">
        <v>5103</v>
      </c>
      <c r="H27" s="29">
        <f t="shared" si="0"/>
        <v>12070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s="100" customFormat="1" ht="13.5" customHeight="1" x14ac:dyDescent="0.2">
      <c r="A28" s="9" t="s">
        <v>123</v>
      </c>
      <c r="B28" s="29">
        <f>-6877+43</f>
        <v>-6834</v>
      </c>
      <c r="C28" s="29"/>
      <c r="D28" s="157">
        <v>1371</v>
      </c>
      <c r="E28" s="26">
        <v>-4216</v>
      </c>
      <c r="F28" s="11"/>
      <c r="G28" s="29">
        <v>-2430</v>
      </c>
      <c r="H28" s="29">
        <f t="shared" si="0"/>
        <v>-4404</v>
      </c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</row>
    <row r="29" spans="1:25" ht="13.5" customHeight="1" x14ac:dyDescent="0.2">
      <c r="A29" s="32" t="s">
        <v>52</v>
      </c>
      <c r="B29" s="29">
        <f>152+938+172-8596+8737+6040-20584-7004-1058+151+1</f>
        <v>-21051</v>
      </c>
      <c r="C29" s="29"/>
      <c r="D29" s="157">
        <f>1662-4535-5625-22200-1371</f>
        <v>-32069</v>
      </c>
      <c r="E29" s="29">
        <f>5678-12041-15692-28528+4216+3</f>
        <v>-46364</v>
      </c>
      <c r="F29" s="11"/>
      <c r="G29" s="29">
        <v>20612</v>
      </c>
      <c r="H29" s="29">
        <f t="shared" si="0"/>
        <v>-41663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3.5" customHeight="1" x14ac:dyDescent="0.2">
      <c r="A30" s="28" t="s">
        <v>97</v>
      </c>
      <c r="B30" s="85">
        <f>SUM(B10:B29)</f>
        <v>396473</v>
      </c>
      <c r="C30" s="29"/>
      <c r="D30" s="167">
        <f>SUM(D10:D29)</f>
        <v>84192</v>
      </c>
      <c r="E30" s="85">
        <f>SUM(E10:E29)</f>
        <v>-228218</v>
      </c>
      <c r="F30" s="7"/>
      <c r="G30" s="85">
        <f>SUM(G10:G29)</f>
        <v>302145</v>
      </c>
      <c r="H30" s="85">
        <f>SUM(H10:H29)</f>
        <v>94328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3.5" customHeight="1" x14ac:dyDescent="0.2">
      <c r="A31" s="21"/>
      <c r="B31" s="291"/>
      <c r="C31" s="291"/>
      <c r="D31" s="168"/>
      <c r="E31" s="30"/>
      <c r="F31" s="21"/>
      <c r="G31" s="291"/>
      <c r="H31" s="29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3.5" customHeight="1" x14ac:dyDescent="0.2">
      <c r="A32" s="24" t="s">
        <v>61</v>
      </c>
      <c r="B32" s="128"/>
      <c r="C32" s="128"/>
      <c r="D32" s="166"/>
      <c r="E32" s="135"/>
      <c r="F32" s="21"/>
      <c r="G32" s="128"/>
      <c r="H32" s="128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5" ht="13.5" customHeight="1" x14ac:dyDescent="0.2">
      <c r="A33" s="6" t="s">
        <v>60</v>
      </c>
      <c r="B33" s="29">
        <v>-59205</v>
      </c>
      <c r="C33" s="29"/>
      <c r="D33" s="157">
        <v>-15214</v>
      </c>
      <c r="E33" s="26">
        <v>-82434</v>
      </c>
      <c r="F33" s="21"/>
      <c r="G33" s="29">
        <v>-30503</v>
      </c>
      <c r="H33" s="29">
        <f>B33-G33</f>
        <v>-28702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ht="13.5" customHeight="1" x14ac:dyDescent="0.2">
      <c r="A34" s="6" t="s">
        <v>93</v>
      </c>
      <c r="B34" s="29">
        <v>-5296</v>
      </c>
      <c r="C34" s="29"/>
      <c r="D34" s="157">
        <v>-63</v>
      </c>
      <c r="E34" s="26">
        <v>-305</v>
      </c>
      <c r="F34" s="21"/>
      <c r="G34" s="29">
        <v>-5033</v>
      </c>
      <c r="H34" s="29">
        <f t="shared" ref="H34:H39" si="1">B34-G34</f>
        <v>-263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ht="13.5" customHeight="1" x14ac:dyDescent="0.2">
      <c r="A35" s="6" t="s">
        <v>135</v>
      </c>
      <c r="B35" s="29">
        <f>2403+91+1500+6845+2081</f>
        <v>12920</v>
      </c>
      <c r="C35" s="29"/>
      <c r="D35" s="157">
        <v>572</v>
      </c>
      <c r="E35" s="26">
        <v>-2921</v>
      </c>
      <c r="F35" s="21"/>
      <c r="G35" s="29">
        <v>11432</v>
      </c>
      <c r="H35" s="29">
        <f t="shared" si="1"/>
        <v>1488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ht="13.5" customHeight="1" x14ac:dyDescent="0.2">
      <c r="A36" s="6" t="s">
        <v>59</v>
      </c>
      <c r="B36" s="29">
        <v>-258948</v>
      </c>
      <c r="C36" s="29"/>
      <c r="D36" s="157">
        <v>0</v>
      </c>
      <c r="E36" s="26">
        <v>-98750</v>
      </c>
      <c r="F36" s="21"/>
      <c r="G36" s="29">
        <v>-191327</v>
      </c>
      <c r="H36" s="29">
        <f t="shared" si="1"/>
        <v>-67621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ht="13.5" customHeight="1" x14ac:dyDescent="0.2">
      <c r="A37" s="6" t="s">
        <v>58</v>
      </c>
      <c r="B37" s="29">
        <v>190064</v>
      </c>
      <c r="C37" s="29"/>
      <c r="D37" s="157">
        <v>23000</v>
      </c>
      <c r="E37" s="26">
        <v>187006</v>
      </c>
      <c r="F37" s="21"/>
      <c r="G37" s="29">
        <v>123996</v>
      </c>
      <c r="H37" s="29">
        <f t="shared" si="1"/>
        <v>66068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ht="13.5" customHeight="1" x14ac:dyDescent="0.2">
      <c r="A38" s="6" t="s">
        <v>57</v>
      </c>
      <c r="B38" s="29">
        <v>-10173</v>
      </c>
      <c r="C38" s="29"/>
      <c r="D38" s="157">
        <v>-823</v>
      </c>
      <c r="E38" s="29">
        <v>-3441</v>
      </c>
      <c r="F38" s="21"/>
      <c r="G38" s="29">
        <v>-9216</v>
      </c>
      <c r="H38" s="29">
        <f t="shared" si="1"/>
        <v>-957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s="100" customFormat="1" ht="13.5" customHeight="1" x14ac:dyDescent="0.2">
      <c r="A39" s="6" t="s">
        <v>143</v>
      </c>
      <c r="B39" s="81">
        <v>70836</v>
      </c>
      <c r="C39" s="29"/>
      <c r="D39" s="158">
        <v>10512</v>
      </c>
      <c r="E39" s="81">
        <v>15979</v>
      </c>
      <c r="F39" s="99"/>
      <c r="G39" s="81">
        <v>71048</v>
      </c>
      <c r="H39" s="81">
        <f t="shared" si="1"/>
        <v>-212</v>
      </c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</row>
    <row r="40" spans="1:25" ht="13.5" customHeight="1" x14ac:dyDescent="0.2">
      <c r="A40" s="28" t="s">
        <v>142</v>
      </c>
      <c r="B40" s="29">
        <f>SUM(B33:B39)</f>
        <v>-59802</v>
      </c>
      <c r="C40" s="29"/>
      <c r="D40" s="157">
        <f>SUM(D33:D39)</f>
        <v>17984</v>
      </c>
      <c r="E40" s="29">
        <f>SUM(E33:E39)</f>
        <v>15134</v>
      </c>
      <c r="F40" s="11"/>
      <c r="G40" s="29">
        <f>SUM(G33:G39)</f>
        <v>-29603</v>
      </c>
      <c r="H40" s="29">
        <f>SUM(H33:H39)</f>
        <v>-30199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ht="13.5" customHeight="1" x14ac:dyDescent="0.2">
      <c r="A41" s="21"/>
      <c r="B41" s="128"/>
      <c r="C41" s="128"/>
      <c r="D41" s="166"/>
      <c r="E41" s="135"/>
      <c r="F41" s="21"/>
      <c r="G41" s="128"/>
      <c r="H41" s="128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ht="13.5" customHeight="1" x14ac:dyDescent="0.2">
      <c r="A42" s="24" t="s">
        <v>56</v>
      </c>
      <c r="B42" s="128"/>
      <c r="C42" s="128"/>
      <c r="D42" s="166"/>
      <c r="E42" s="135"/>
      <c r="F42" s="21"/>
      <c r="G42" s="128"/>
      <c r="H42" s="128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s="214" customFormat="1" ht="13.5" customHeight="1" x14ac:dyDescent="0.2">
      <c r="A43" s="6" t="s">
        <v>127</v>
      </c>
      <c r="B43" s="118">
        <v>298500</v>
      </c>
      <c r="C43" s="118"/>
      <c r="D43" s="306">
        <v>0</v>
      </c>
      <c r="E43" s="26">
        <v>0</v>
      </c>
      <c r="F43" s="213"/>
      <c r="G43" s="118">
        <v>298500</v>
      </c>
      <c r="H43" s="118">
        <f>B43-G43</f>
        <v>0</v>
      </c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</row>
    <row r="44" spans="1:25" ht="13.5" customHeight="1" x14ac:dyDescent="0.2">
      <c r="A44" s="6" t="s">
        <v>126</v>
      </c>
      <c r="B44" s="29">
        <v>-325684</v>
      </c>
      <c r="C44" s="29"/>
      <c r="D44" s="157">
        <v>-816</v>
      </c>
      <c r="E44" s="26">
        <v>0</v>
      </c>
      <c r="F44" s="21"/>
      <c r="G44" s="29">
        <v>-325684</v>
      </c>
      <c r="H44" s="118">
        <f t="shared" ref="H44:H51" si="2">B44-G44</f>
        <v>0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1:25" s="232" customFormat="1" ht="13.5" customHeight="1" x14ac:dyDescent="0.2">
      <c r="A45" s="6" t="s">
        <v>137</v>
      </c>
      <c r="B45" s="29">
        <v>-2250</v>
      </c>
      <c r="C45" s="29"/>
      <c r="D45" s="157">
        <v>0</v>
      </c>
      <c r="E45" s="26">
        <v>0</v>
      </c>
      <c r="F45" s="231"/>
      <c r="G45" s="29">
        <v>-1500</v>
      </c>
      <c r="H45" s="118">
        <f t="shared" si="2"/>
        <v>-750</v>
      </c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</row>
    <row r="46" spans="1:25" ht="13.5" customHeight="1" x14ac:dyDescent="0.2">
      <c r="A46" s="6" t="s">
        <v>55</v>
      </c>
      <c r="B46" s="29">
        <v>-694</v>
      </c>
      <c r="C46" s="29"/>
      <c r="D46" s="157">
        <v>3374</v>
      </c>
      <c r="E46" s="26">
        <v>-11986</v>
      </c>
      <c r="F46" s="21"/>
      <c r="G46" s="29">
        <v>-5992</v>
      </c>
      <c r="H46" s="118">
        <f t="shared" si="2"/>
        <v>5298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5" s="137" customFormat="1" ht="13.5" customHeight="1" x14ac:dyDescent="0.2">
      <c r="A47" s="6" t="s">
        <v>54</v>
      </c>
      <c r="B47" s="29">
        <v>-10149</v>
      </c>
      <c r="C47" s="29"/>
      <c r="D47" s="157">
        <v>0</v>
      </c>
      <c r="E47" s="26">
        <v>-23011</v>
      </c>
      <c r="F47" s="136"/>
      <c r="G47" s="29">
        <v>-10043</v>
      </c>
      <c r="H47" s="118">
        <f t="shared" si="2"/>
        <v>-106</v>
      </c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</row>
    <row r="48" spans="1:25" s="89" customFormat="1" ht="13.5" customHeight="1" x14ac:dyDescent="0.2">
      <c r="A48" s="61" t="s">
        <v>82</v>
      </c>
      <c r="B48" s="29">
        <v>-2360</v>
      </c>
      <c r="C48" s="29"/>
      <c r="D48" s="157">
        <v>0</v>
      </c>
      <c r="E48" s="29">
        <v>-2213</v>
      </c>
      <c r="F48" s="88"/>
      <c r="G48" s="29">
        <v>-2360</v>
      </c>
      <c r="H48" s="118">
        <f t="shared" si="2"/>
        <v>0</v>
      </c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</row>
    <row r="49" spans="1:25" ht="13.5" customHeight="1" x14ac:dyDescent="0.2">
      <c r="A49" s="6" t="s">
        <v>53</v>
      </c>
      <c r="B49" s="29">
        <v>-24369</v>
      </c>
      <c r="C49" s="29"/>
      <c r="D49" s="157">
        <v>0</v>
      </c>
      <c r="E49" s="29">
        <v>0</v>
      </c>
      <c r="F49" s="21"/>
      <c r="G49" s="29">
        <v>-16763</v>
      </c>
      <c r="H49" s="118">
        <f t="shared" si="2"/>
        <v>-7606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s="34" customFormat="1" ht="13.5" customHeight="1" x14ac:dyDescent="0.2">
      <c r="A50" s="6" t="s">
        <v>138</v>
      </c>
      <c r="B50" s="29">
        <v>-301512</v>
      </c>
      <c r="C50" s="29"/>
      <c r="D50" s="157">
        <v>0</v>
      </c>
      <c r="E50" s="29">
        <v>0</v>
      </c>
      <c r="F50" s="33"/>
      <c r="G50" s="29">
        <v>-215735</v>
      </c>
      <c r="H50" s="118">
        <f t="shared" si="2"/>
        <v>-85777</v>
      </c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</row>
    <row r="51" spans="1:25" s="56" customFormat="1" ht="13.5" customHeight="1" x14ac:dyDescent="0.2">
      <c r="A51" s="6" t="s">
        <v>52</v>
      </c>
      <c r="B51" s="81">
        <f>-163+25</f>
        <v>-138</v>
      </c>
      <c r="C51" s="29"/>
      <c r="D51" s="158">
        <v>151</v>
      </c>
      <c r="E51" s="81">
        <v>0</v>
      </c>
      <c r="F51" s="55"/>
      <c r="G51" s="81">
        <v>0</v>
      </c>
      <c r="H51" s="82">
        <f t="shared" si="2"/>
        <v>-138</v>
      </c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</row>
    <row r="52" spans="1:25" ht="13.5" customHeight="1" x14ac:dyDescent="0.2">
      <c r="A52" s="9" t="s">
        <v>178</v>
      </c>
      <c r="B52" s="81">
        <f>SUM(B43:B51)</f>
        <v>-368656</v>
      </c>
      <c r="C52" s="29"/>
      <c r="D52" s="158">
        <f>SUM(D43:D51)</f>
        <v>2709</v>
      </c>
      <c r="E52" s="81">
        <f>SUM(E43:E51)</f>
        <v>-37210</v>
      </c>
      <c r="F52" s="21"/>
      <c r="G52" s="81">
        <f>SUM(G43:G51)</f>
        <v>-279577</v>
      </c>
      <c r="H52" s="81">
        <f>SUM(H43:H51)</f>
        <v>-89079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ht="13.5" customHeight="1" x14ac:dyDescent="0.2">
      <c r="A53" s="21"/>
      <c r="B53" s="128"/>
      <c r="C53" s="128"/>
      <c r="D53" s="166"/>
      <c r="E53" s="135"/>
      <c r="F53" s="21"/>
      <c r="G53" s="128"/>
      <c r="H53" s="128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 spans="1:25" ht="13.5" customHeight="1" x14ac:dyDescent="0.2">
      <c r="A54" s="20" t="s">
        <v>171</v>
      </c>
      <c r="B54" s="29">
        <f>+B52+B40+B30</f>
        <v>-31985</v>
      </c>
      <c r="C54" s="29"/>
      <c r="D54" s="157">
        <f>D30+D40+D52</f>
        <v>104885</v>
      </c>
      <c r="E54" s="26">
        <f>+E52+E40+E30</f>
        <v>-250294</v>
      </c>
      <c r="F54" s="21"/>
      <c r="G54" s="29">
        <f>+G52+G40+G30</f>
        <v>-7035</v>
      </c>
      <c r="H54" s="29">
        <f>+H52+H40+H30</f>
        <v>-24950</v>
      </c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 spans="1:25" ht="13.5" customHeight="1" x14ac:dyDescent="0.2">
      <c r="A55" s="20" t="s">
        <v>51</v>
      </c>
      <c r="B55" s="81">
        <v>305372</v>
      </c>
      <c r="C55" s="29"/>
      <c r="D55" s="158">
        <v>200487</v>
      </c>
      <c r="E55" s="81">
        <v>450781</v>
      </c>
      <c r="F55" s="21"/>
      <c r="G55" s="81">
        <v>305372</v>
      </c>
      <c r="H55" s="81">
        <v>298337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</row>
    <row r="56" spans="1:25" ht="13.5" customHeight="1" x14ac:dyDescent="0.2">
      <c r="A56" s="21"/>
      <c r="B56" s="128"/>
      <c r="C56" s="128"/>
      <c r="D56" s="166"/>
      <c r="E56" s="135"/>
      <c r="F56" s="21"/>
      <c r="G56" s="128"/>
      <c r="H56" s="128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</row>
    <row r="57" spans="1:25" ht="13.5" customHeight="1" thickBot="1" x14ac:dyDescent="0.25">
      <c r="A57" s="20" t="s">
        <v>50</v>
      </c>
      <c r="B57" s="73">
        <f>+B54+B55</f>
        <v>273387</v>
      </c>
      <c r="C57" s="204"/>
      <c r="D57" s="150">
        <f>SUM(D54:D55)</f>
        <v>305372</v>
      </c>
      <c r="E57" s="73">
        <f>+E54+E55</f>
        <v>200487</v>
      </c>
      <c r="F57" s="21"/>
      <c r="G57" s="73">
        <f>+G54+G55</f>
        <v>298337</v>
      </c>
      <c r="H57" s="73">
        <f>+H54+H55</f>
        <v>273387</v>
      </c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25" ht="18.75" customHeight="1" thickTop="1" x14ac:dyDescent="0.2">
      <c r="A58" s="21"/>
      <c r="B58" s="74"/>
      <c r="C58" s="128"/>
      <c r="D58" s="275"/>
      <c r="E58" s="136"/>
      <c r="F58" s="21"/>
      <c r="G58" s="308"/>
      <c r="H58" s="308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 ht="18.75" customHeight="1" x14ac:dyDescent="0.2">
      <c r="A59" s="21"/>
      <c r="B59" s="80"/>
      <c r="C59" s="118"/>
      <c r="D59" s="80"/>
      <c r="E59" s="136"/>
      <c r="F59" s="21"/>
      <c r="G59" s="80"/>
      <c r="H59" s="8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25" ht="18.75" customHeight="1" x14ac:dyDescent="0.2">
      <c r="A60" s="21"/>
      <c r="B60" s="90"/>
      <c r="C60" s="302"/>
      <c r="D60" s="90"/>
      <c r="E60" s="136"/>
      <c r="F60" s="21"/>
      <c r="G60" s="90"/>
      <c r="H60" s="90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25" ht="18.75" customHeight="1" x14ac:dyDescent="0.2">
      <c r="A61" s="21"/>
      <c r="B61" s="90"/>
      <c r="C61" s="302"/>
      <c r="D61" s="90"/>
      <c r="E61" s="136"/>
      <c r="F61" s="21"/>
      <c r="G61" s="90"/>
      <c r="H61" s="90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25" ht="18.75" customHeight="1" x14ac:dyDescent="0.2">
      <c r="A62" s="21"/>
      <c r="B62" s="90"/>
      <c r="C62" s="302"/>
      <c r="D62" s="90"/>
      <c r="E62" s="90"/>
      <c r="F62" s="21"/>
      <c r="G62" s="90"/>
      <c r="H62" s="90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1:25" ht="18.75" customHeight="1" x14ac:dyDescent="0.2">
      <c r="A63" s="21"/>
      <c r="B63" s="90"/>
      <c r="C63" s="302"/>
      <c r="D63" s="90"/>
      <c r="E63" s="90"/>
      <c r="F63" s="21"/>
      <c r="G63" s="90"/>
      <c r="H63" s="90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25" ht="18.75" customHeight="1" x14ac:dyDescent="0.2">
      <c r="A64" s="21"/>
      <c r="B64" s="74"/>
      <c r="C64" s="128"/>
      <c r="D64" s="275"/>
      <c r="E64" s="135"/>
      <c r="F64" s="21"/>
      <c r="G64" s="308"/>
      <c r="H64" s="308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 spans="1:25" ht="18.75" customHeight="1" x14ac:dyDescent="0.2">
      <c r="A65" s="21"/>
      <c r="B65" s="74"/>
      <c r="C65" s="128"/>
      <c r="D65" s="275"/>
      <c r="E65" s="135"/>
      <c r="F65" s="21"/>
      <c r="G65" s="308"/>
      <c r="H65" s="308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1:25" ht="18.75" customHeight="1" x14ac:dyDescent="0.2">
      <c r="A66" s="21"/>
      <c r="B66" s="74"/>
      <c r="C66" s="128"/>
      <c r="D66" s="275"/>
      <c r="E66" s="135"/>
      <c r="F66" s="21"/>
      <c r="G66" s="308"/>
      <c r="H66" s="308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</row>
    <row r="67" spans="1:25" ht="18.75" customHeight="1" x14ac:dyDescent="0.2">
      <c r="A67" s="21"/>
      <c r="B67" s="74"/>
      <c r="C67" s="128"/>
      <c r="D67" s="275"/>
      <c r="E67" s="135"/>
      <c r="F67" s="21"/>
      <c r="G67" s="308"/>
      <c r="H67" s="308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</row>
    <row r="68" spans="1:25" ht="18.75" customHeight="1" x14ac:dyDescent="0.2">
      <c r="A68" s="21"/>
      <c r="B68" s="74"/>
      <c r="C68" s="128"/>
      <c r="D68" s="275"/>
      <c r="E68" s="135"/>
      <c r="F68" s="21"/>
      <c r="G68" s="308"/>
      <c r="H68" s="308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 ht="18.75" customHeight="1" x14ac:dyDescent="0.2">
      <c r="A69" s="21"/>
      <c r="B69" s="74"/>
      <c r="C69" s="128"/>
      <c r="D69" s="275"/>
      <c r="E69" s="135"/>
      <c r="F69" s="21"/>
      <c r="G69" s="308"/>
      <c r="H69" s="308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</row>
    <row r="70" spans="1:25" ht="18.75" customHeight="1" x14ac:dyDescent="0.2">
      <c r="A70" s="21"/>
      <c r="B70" s="74"/>
      <c r="C70" s="128"/>
      <c r="D70" s="275"/>
      <c r="E70" s="135"/>
      <c r="F70" s="21"/>
      <c r="G70" s="308"/>
      <c r="H70" s="308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</row>
    <row r="71" spans="1:25" ht="18.75" customHeight="1" x14ac:dyDescent="0.2">
      <c r="A71" s="21"/>
      <c r="B71" s="74"/>
      <c r="C71" s="128"/>
      <c r="D71" s="275"/>
      <c r="E71" s="135"/>
      <c r="F71" s="21"/>
      <c r="G71" s="308"/>
      <c r="H71" s="308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 spans="1:25" ht="18.75" customHeight="1" x14ac:dyDescent="0.2">
      <c r="A72" s="21"/>
      <c r="B72" s="74"/>
      <c r="C72" s="128"/>
      <c r="D72" s="275"/>
      <c r="E72" s="135"/>
      <c r="F72" s="21"/>
      <c r="G72" s="308"/>
      <c r="H72" s="308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</row>
    <row r="73" spans="1:25" ht="18.75" customHeight="1" x14ac:dyDescent="0.2">
      <c r="A73" s="21"/>
      <c r="B73" s="74"/>
      <c r="C73" s="128"/>
      <c r="D73" s="275"/>
      <c r="E73" s="135"/>
      <c r="F73" s="21"/>
      <c r="G73" s="308"/>
      <c r="H73" s="308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</row>
    <row r="74" spans="1:25" ht="18.75" customHeight="1" x14ac:dyDescent="0.2">
      <c r="A74" s="21"/>
      <c r="B74" s="74"/>
      <c r="C74" s="128"/>
      <c r="D74" s="275"/>
      <c r="E74" s="135"/>
      <c r="F74" s="21"/>
      <c r="G74" s="308"/>
      <c r="H74" s="308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</row>
    <row r="75" spans="1:25" ht="18.75" customHeight="1" x14ac:dyDescent="0.2">
      <c r="A75" s="21"/>
      <c r="B75" s="74"/>
      <c r="C75" s="128"/>
      <c r="D75" s="275"/>
      <c r="E75" s="135"/>
      <c r="F75" s="21"/>
      <c r="G75" s="308"/>
      <c r="H75" s="308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</row>
    <row r="76" spans="1:25" ht="18.75" customHeight="1" x14ac:dyDescent="0.2">
      <c r="A76" s="21"/>
      <c r="B76" s="21"/>
      <c r="C76" s="25"/>
      <c r="D76" s="276"/>
      <c r="E76" s="136"/>
      <c r="F76" s="21"/>
      <c r="G76" s="310"/>
      <c r="H76" s="310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</row>
    <row r="77" spans="1:25" ht="18.75" customHeight="1" x14ac:dyDescent="0.2">
      <c r="A77" s="21"/>
      <c r="B77" s="21"/>
      <c r="C77" s="25"/>
      <c r="D77" s="276"/>
      <c r="E77" s="136"/>
      <c r="F77" s="21"/>
      <c r="G77" s="310"/>
      <c r="H77" s="310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</row>
    <row r="78" spans="1:25" ht="18.75" customHeight="1" x14ac:dyDescent="0.2">
      <c r="A78" s="21"/>
      <c r="B78" s="21"/>
      <c r="C78" s="25"/>
      <c r="D78" s="276"/>
      <c r="E78" s="136"/>
      <c r="F78" s="21"/>
      <c r="G78" s="310"/>
      <c r="H78" s="310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1:25" ht="18.75" customHeight="1" x14ac:dyDescent="0.2">
      <c r="A79" s="21"/>
      <c r="B79" s="21"/>
      <c r="C79" s="25"/>
      <c r="D79" s="276"/>
      <c r="E79" s="136"/>
      <c r="F79" s="21"/>
      <c r="G79" s="310"/>
      <c r="H79" s="310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</row>
    <row r="80" spans="1:25" ht="18.75" customHeight="1" x14ac:dyDescent="0.2">
      <c r="A80" s="21"/>
      <c r="B80" s="21"/>
      <c r="C80" s="25"/>
      <c r="D80" s="276"/>
      <c r="E80" s="136"/>
      <c r="F80" s="21"/>
      <c r="G80" s="310"/>
      <c r="H80" s="310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</row>
    <row r="81" spans="1:25" ht="18.75" customHeight="1" x14ac:dyDescent="0.2">
      <c r="A81" s="21"/>
      <c r="B81" s="21"/>
      <c r="C81" s="25"/>
      <c r="D81" s="276"/>
      <c r="E81" s="136"/>
      <c r="F81" s="21"/>
      <c r="G81" s="310"/>
      <c r="H81" s="31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</row>
    <row r="82" spans="1:25" ht="18.75" customHeight="1" x14ac:dyDescent="0.2">
      <c r="A82" s="21"/>
      <c r="B82" s="21"/>
      <c r="C82" s="25"/>
      <c r="D82" s="276"/>
      <c r="E82" s="136"/>
      <c r="F82" s="21"/>
      <c r="G82" s="310"/>
      <c r="H82" s="310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</row>
    <row r="83" spans="1:25" ht="18.75" customHeight="1" x14ac:dyDescent="0.2">
      <c r="A83" s="21"/>
      <c r="B83" s="21"/>
      <c r="C83" s="25"/>
      <c r="D83" s="276"/>
      <c r="E83" s="136"/>
      <c r="F83" s="21"/>
      <c r="G83" s="310"/>
      <c r="H83" s="310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</row>
    <row r="84" spans="1:25" ht="18.75" customHeight="1" x14ac:dyDescent="0.2">
      <c r="A84" s="21"/>
      <c r="B84" s="21"/>
      <c r="C84" s="25"/>
      <c r="D84" s="276"/>
      <c r="E84" s="136"/>
      <c r="F84" s="21"/>
      <c r="G84" s="310"/>
      <c r="H84" s="310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</row>
    <row r="85" spans="1:25" ht="18.75" customHeight="1" x14ac:dyDescent="0.2">
      <c r="A85" s="21"/>
      <c r="B85" s="21"/>
      <c r="C85" s="25"/>
      <c r="D85" s="276"/>
      <c r="E85" s="136"/>
      <c r="F85" s="21"/>
      <c r="G85" s="310"/>
      <c r="H85" s="310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</row>
    <row r="86" spans="1:25" ht="18.75" customHeight="1" x14ac:dyDescent="0.2">
      <c r="A86" s="21"/>
      <c r="B86" s="21"/>
      <c r="C86" s="25"/>
      <c r="D86" s="276"/>
      <c r="E86" s="136"/>
      <c r="F86" s="21"/>
      <c r="G86" s="310"/>
      <c r="H86" s="310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</row>
    <row r="87" spans="1:25" ht="18.75" customHeight="1" x14ac:dyDescent="0.2">
      <c r="A87" s="21"/>
      <c r="B87" s="21"/>
      <c r="C87" s="25"/>
      <c r="D87" s="276"/>
      <c r="E87" s="136"/>
      <c r="F87" s="21"/>
      <c r="G87" s="310"/>
      <c r="H87" s="310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</row>
    <row r="88" spans="1:25" ht="18.75" customHeight="1" x14ac:dyDescent="0.2">
      <c r="A88" s="21"/>
      <c r="B88" s="21"/>
      <c r="C88" s="25"/>
      <c r="D88" s="276"/>
      <c r="E88" s="136"/>
      <c r="F88" s="21"/>
      <c r="G88" s="310"/>
      <c r="H88" s="310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5" ht="18.75" customHeight="1" x14ac:dyDescent="0.2">
      <c r="A89" s="21"/>
      <c r="B89" s="21"/>
      <c r="C89" s="25"/>
      <c r="D89" s="276"/>
      <c r="E89" s="136"/>
      <c r="F89" s="21"/>
      <c r="G89" s="310"/>
      <c r="H89" s="310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</row>
    <row r="90" spans="1:25" ht="18.75" customHeight="1" x14ac:dyDescent="0.2">
      <c r="A90" s="21"/>
      <c r="B90" s="21"/>
      <c r="C90" s="25"/>
      <c r="D90" s="276"/>
      <c r="E90" s="136"/>
      <c r="F90" s="21"/>
      <c r="G90" s="310"/>
      <c r="H90" s="310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 spans="1:25" ht="18.75" customHeight="1" x14ac:dyDescent="0.2">
      <c r="A91" s="21"/>
      <c r="B91" s="21"/>
      <c r="C91" s="25"/>
      <c r="D91" s="276"/>
      <c r="E91" s="136"/>
      <c r="F91" s="21"/>
      <c r="G91" s="310"/>
      <c r="H91" s="310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</row>
    <row r="92" spans="1:25" ht="18.75" customHeight="1" x14ac:dyDescent="0.2">
      <c r="A92" s="21"/>
      <c r="B92" s="21"/>
      <c r="C92" s="25"/>
      <c r="D92" s="276"/>
      <c r="E92" s="136"/>
      <c r="F92" s="21"/>
      <c r="G92" s="310"/>
      <c r="H92" s="31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</row>
    <row r="93" spans="1:25" ht="18.75" customHeight="1" x14ac:dyDescent="0.2">
      <c r="A93" s="21"/>
      <c r="B93" s="21"/>
      <c r="C93" s="25"/>
      <c r="D93" s="276"/>
      <c r="E93" s="136"/>
      <c r="F93" s="21"/>
      <c r="G93" s="310"/>
      <c r="H93" s="310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</row>
    <row r="94" spans="1:25" ht="18.75" customHeight="1" x14ac:dyDescent="0.2">
      <c r="A94" s="21"/>
      <c r="B94" s="21"/>
      <c r="C94" s="25"/>
      <c r="D94" s="276"/>
      <c r="E94" s="136"/>
      <c r="F94" s="21"/>
      <c r="G94" s="310"/>
      <c r="H94" s="310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</row>
    <row r="95" spans="1:25" ht="18.75" customHeight="1" x14ac:dyDescent="0.2">
      <c r="A95" s="21"/>
      <c r="B95" s="21"/>
      <c r="C95" s="25"/>
      <c r="D95" s="276"/>
      <c r="E95" s="136"/>
      <c r="F95" s="21"/>
      <c r="G95" s="310"/>
      <c r="H95" s="310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</row>
    <row r="96" spans="1:25" ht="18.75" customHeight="1" x14ac:dyDescent="0.2">
      <c r="A96" s="21"/>
      <c r="B96" s="21"/>
      <c r="C96" s="25"/>
      <c r="D96" s="276"/>
      <c r="E96" s="136"/>
      <c r="F96" s="21"/>
      <c r="G96" s="310"/>
      <c r="H96" s="310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</row>
  </sheetData>
  <mergeCells count="3">
    <mergeCell ref="A1:E1"/>
    <mergeCell ref="A2:E2"/>
    <mergeCell ref="A3:E3"/>
  </mergeCells>
  <pageMargins left="0.7" right="0.7" top="0.75" bottom="0.75" header="0.3" footer="0.3"/>
  <pageSetup scale="74" orientation="portrait" r:id="rId1"/>
  <ignoredErrors>
    <ignoredError sqref="D54 D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F96"/>
  <sheetViews>
    <sheetView workbookViewId="0">
      <selection activeCell="C13" sqref="C13"/>
    </sheetView>
  </sheetViews>
  <sheetFormatPr defaultColWidth="21.5" defaultRowHeight="12.75" x14ac:dyDescent="0.2"/>
  <cols>
    <col min="1" max="1" width="73" style="37" customWidth="1"/>
    <col min="2" max="2" width="2.1640625" style="37" customWidth="1"/>
    <col min="3" max="4" width="15.83203125" style="37" customWidth="1"/>
    <col min="5" max="16384" width="21.5" style="37"/>
  </cols>
  <sheetData>
    <row r="1" spans="1:6" ht="13.5" customHeight="1" x14ac:dyDescent="0.25">
      <c r="A1" s="367" t="s">
        <v>0</v>
      </c>
      <c r="B1" s="368"/>
      <c r="C1" s="368"/>
      <c r="D1" s="368"/>
    </row>
    <row r="2" spans="1:6" ht="13.5" customHeight="1" x14ac:dyDescent="0.25">
      <c r="A2" s="367" t="s">
        <v>72</v>
      </c>
      <c r="B2" s="368"/>
      <c r="C2" s="368"/>
      <c r="D2" s="368"/>
    </row>
    <row r="3" spans="1:6" ht="13.5" customHeight="1" x14ac:dyDescent="0.25">
      <c r="A3" s="367" t="s">
        <v>16</v>
      </c>
      <c r="B3" s="368"/>
      <c r="C3" s="368"/>
      <c r="D3" s="368"/>
    </row>
    <row r="4" spans="1:6" ht="6" customHeight="1" x14ac:dyDescent="0.2"/>
    <row r="5" spans="1:6" ht="18.75" customHeight="1" x14ac:dyDescent="0.2">
      <c r="A5" s="39"/>
      <c r="B5" s="39"/>
      <c r="C5" s="203" t="s">
        <v>73</v>
      </c>
      <c r="D5" s="164" t="s">
        <v>73</v>
      </c>
    </row>
    <row r="6" spans="1:6" ht="12.75" customHeight="1" x14ac:dyDescent="0.2">
      <c r="A6" s="39"/>
      <c r="B6" s="39"/>
      <c r="C6" s="195">
        <v>2017</v>
      </c>
      <c r="D6" s="40">
        <v>2016</v>
      </c>
    </row>
    <row r="7" spans="1:6" ht="18.75" customHeight="1" x14ac:dyDescent="0.2">
      <c r="A7" s="39"/>
      <c r="B7" s="39"/>
      <c r="C7" s="206" t="s">
        <v>4</v>
      </c>
      <c r="D7" s="163"/>
    </row>
    <row r="8" spans="1:6" ht="18.75" customHeight="1" x14ac:dyDescent="0.2">
      <c r="A8" s="39"/>
      <c r="B8" s="39"/>
      <c r="C8" s="207"/>
      <c r="D8" s="43"/>
    </row>
    <row r="9" spans="1:6" s="214" customFormat="1" ht="18.75" customHeight="1" x14ac:dyDescent="0.2">
      <c r="A9" s="213" t="s">
        <v>177</v>
      </c>
      <c r="B9" s="215"/>
      <c r="C9" s="208">
        <v>296435</v>
      </c>
      <c r="D9" s="200">
        <v>0</v>
      </c>
    </row>
    <row r="10" spans="1:6" s="137" customFormat="1" ht="18.75" customHeight="1" x14ac:dyDescent="0.2">
      <c r="A10" s="136" t="s">
        <v>124</v>
      </c>
      <c r="B10" s="138"/>
      <c r="C10" s="216">
        <v>0</v>
      </c>
      <c r="D10" s="217">
        <v>325684</v>
      </c>
      <c r="F10" s="57"/>
    </row>
    <row r="11" spans="1:6" ht="13.5" customHeight="1" x14ac:dyDescent="0.2">
      <c r="A11" s="41" t="s">
        <v>52</v>
      </c>
      <c r="B11" s="39"/>
      <c r="C11" s="209">
        <v>36514</v>
      </c>
      <c r="D11" s="109">
        <v>37195</v>
      </c>
    </row>
    <row r="12" spans="1:6" s="104" customFormat="1" ht="13.5" customHeight="1" x14ac:dyDescent="0.2">
      <c r="A12" s="106" t="s">
        <v>84</v>
      </c>
      <c r="B12" s="105"/>
      <c r="C12" s="210">
        <v>-7032</v>
      </c>
      <c r="D12" s="47">
        <v>0</v>
      </c>
    </row>
    <row r="13" spans="1:6" ht="13.5" customHeight="1" x14ac:dyDescent="0.2">
      <c r="A13" s="39"/>
      <c r="B13" s="39"/>
      <c r="C13" s="45">
        <f>SUM(C9:C12)</f>
        <v>325917</v>
      </c>
      <c r="D13" s="45">
        <f>SUM(D9:D12)</f>
        <v>362879</v>
      </c>
    </row>
    <row r="14" spans="1:6" ht="13.5" customHeight="1" x14ac:dyDescent="0.2">
      <c r="A14" s="369" t="s">
        <v>74</v>
      </c>
      <c r="B14" s="370"/>
      <c r="C14" s="109">
        <v>15783</v>
      </c>
      <c r="D14" s="45">
        <v>11038</v>
      </c>
    </row>
    <row r="15" spans="1:6" ht="13.5" customHeight="1" thickBot="1" x14ac:dyDescent="0.25">
      <c r="A15" s="41" t="s">
        <v>39</v>
      </c>
      <c r="B15" s="39"/>
      <c r="C15" s="48">
        <f>C13-C14</f>
        <v>310134</v>
      </c>
      <c r="D15" s="48">
        <f>D13-D14</f>
        <v>351841</v>
      </c>
    </row>
    <row r="16" spans="1:6" ht="13.5" customHeight="1" thickTop="1" x14ac:dyDescent="0.2">
      <c r="A16" s="39"/>
      <c r="B16" s="39"/>
      <c r="C16" s="207"/>
      <c r="D16" s="117"/>
    </row>
    <row r="17" spans="1:4" ht="13.5" customHeight="1" x14ac:dyDescent="0.2">
      <c r="A17" s="41" t="s">
        <v>75</v>
      </c>
      <c r="C17" s="190"/>
      <c r="D17" s="46"/>
    </row>
    <row r="18" spans="1:4" ht="13.5" customHeight="1" x14ac:dyDescent="0.2">
      <c r="A18" s="106" t="s">
        <v>85</v>
      </c>
      <c r="C18" s="211">
        <f>C13-C12</f>
        <v>332949</v>
      </c>
      <c r="D18" s="44">
        <f>D13-D12</f>
        <v>362879</v>
      </c>
    </row>
    <row r="19" spans="1:4" ht="13.5" customHeight="1" x14ac:dyDescent="0.2">
      <c r="A19" s="41" t="s">
        <v>76</v>
      </c>
      <c r="C19" s="212"/>
      <c r="D19" s="46"/>
    </row>
    <row r="20" spans="1:4" ht="13.5" customHeight="1" x14ac:dyDescent="0.2">
      <c r="A20" s="41" t="s">
        <v>19</v>
      </c>
      <c r="C20" s="109">
        <f>'Balance Sheet'!B11</f>
        <v>273387</v>
      </c>
      <c r="D20" s="45">
        <f>'Balance Sheet'!C11</f>
        <v>305372</v>
      </c>
    </row>
    <row r="21" spans="1:4" ht="13.5" customHeight="1" x14ac:dyDescent="0.2">
      <c r="A21" s="41" t="s">
        <v>20</v>
      </c>
      <c r="C21" s="47">
        <f>'Balance Sheet'!B12</f>
        <v>155846</v>
      </c>
      <c r="D21" s="47">
        <f>'Balance Sheet'!C12</f>
        <v>88072</v>
      </c>
    </row>
    <row r="22" spans="1:4" ht="13.5" customHeight="1" x14ac:dyDescent="0.2">
      <c r="A22" s="39"/>
      <c r="C22" s="109">
        <f>+C20+C21</f>
        <v>429233</v>
      </c>
      <c r="D22" s="45">
        <f>+D20+D21</f>
        <v>393444</v>
      </c>
    </row>
    <row r="23" spans="1:4" ht="13.5" customHeight="1" thickBot="1" x14ac:dyDescent="0.25">
      <c r="A23" s="41" t="s">
        <v>77</v>
      </c>
      <c r="C23" s="48">
        <f>+C18-C22</f>
        <v>-96284</v>
      </c>
      <c r="D23" s="48">
        <f>+D18-D22</f>
        <v>-30565</v>
      </c>
    </row>
    <row r="24" spans="1:4" ht="18.75" customHeight="1" thickTop="1" x14ac:dyDescent="0.2">
      <c r="C24" s="46"/>
      <c r="D24" s="46"/>
    </row>
    <row r="25" spans="1:4" ht="18.75" customHeight="1" x14ac:dyDescent="0.2"/>
    <row r="26" spans="1:4" ht="18.75" customHeight="1" x14ac:dyDescent="0.2"/>
    <row r="27" spans="1:4" ht="18.75" customHeight="1" x14ac:dyDescent="0.2"/>
    <row r="28" spans="1:4" ht="18.75" customHeight="1" x14ac:dyDescent="0.2"/>
    <row r="29" spans="1:4" ht="18.75" customHeight="1" x14ac:dyDescent="0.2"/>
    <row r="30" spans="1:4" ht="18.75" customHeight="1" x14ac:dyDescent="0.2"/>
    <row r="31" spans="1:4" ht="18.75" customHeight="1" x14ac:dyDescent="0.2"/>
    <row r="32" spans="1:4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</sheetData>
  <mergeCells count="4">
    <mergeCell ref="A1:D1"/>
    <mergeCell ref="A2:D2"/>
    <mergeCell ref="A3:D3"/>
    <mergeCell ref="A14:B14"/>
  </mergeCells>
  <pageMargins left="0.7" right="0.7" top="0.75" bottom="0.75" header="0.3" footer="0.3"/>
  <pageSetup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9"/>
  <sheetViews>
    <sheetView workbookViewId="0">
      <selection activeCell="A12" sqref="A12"/>
    </sheetView>
  </sheetViews>
  <sheetFormatPr defaultRowHeight="12.75" x14ac:dyDescent="0.2"/>
  <cols>
    <col min="1" max="1" width="60.1640625" style="237" customWidth="1"/>
    <col min="2" max="2" width="14.33203125" style="237" customWidth="1"/>
    <col min="3" max="3" width="9.33203125" style="237"/>
    <col min="4" max="4" width="14.33203125" style="237" customWidth="1"/>
    <col min="5" max="5" width="9.33203125" style="237"/>
    <col min="6" max="6" width="14.33203125" style="237" customWidth="1"/>
    <col min="7" max="7" width="9.33203125" style="237"/>
    <col min="8" max="8" width="14.33203125" style="237" customWidth="1"/>
    <col min="9" max="16384" width="9.33203125" style="237"/>
  </cols>
  <sheetData>
    <row r="1" spans="1:9" ht="15.75" x14ac:dyDescent="0.25">
      <c r="A1" s="371" t="s">
        <v>0</v>
      </c>
      <c r="B1" s="371"/>
      <c r="C1" s="372"/>
      <c r="D1" s="372"/>
      <c r="E1" s="372"/>
      <c r="F1" s="372"/>
      <c r="G1" s="372"/>
      <c r="H1" s="373"/>
      <c r="I1" s="373"/>
    </row>
    <row r="2" spans="1:9" ht="15.75" x14ac:dyDescent="0.25">
      <c r="A2" s="371" t="s">
        <v>109</v>
      </c>
      <c r="B2" s="371"/>
      <c r="C2" s="372"/>
      <c r="D2" s="372"/>
      <c r="E2" s="372"/>
      <c r="F2" s="372"/>
      <c r="G2" s="372"/>
      <c r="H2" s="374"/>
      <c r="I2" s="372"/>
    </row>
    <row r="3" spans="1:9" ht="15.75" x14ac:dyDescent="0.25">
      <c r="A3" s="371" t="s">
        <v>110</v>
      </c>
      <c r="B3" s="371"/>
      <c r="C3" s="372"/>
      <c r="D3" s="372"/>
      <c r="E3" s="372"/>
      <c r="F3" s="372"/>
      <c r="G3" s="372"/>
      <c r="H3" s="374"/>
      <c r="I3" s="372"/>
    </row>
    <row r="4" spans="1:9" x14ac:dyDescent="0.2">
      <c r="A4" s="236"/>
      <c r="B4" s="236"/>
      <c r="C4" s="236"/>
      <c r="D4" s="314"/>
      <c r="E4" s="314"/>
      <c r="F4" s="314"/>
      <c r="G4" s="314"/>
      <c r="H4" s="236"/>
      <c r="I4" s="236"/>
    </row>
    <row r="5" spans="1:9" x14ac:dyDescent="0.2">
      <c r="A5" s="236"/>
      <c r="B5" s="316"/>
      <c r="C5" s="316"/>
      <c r="D5" s="316"/>
      <c r="E5" s="316"/>
      <c r="F5" s="316"/>
      <c r="G5" s="316"/>
      <c r="H5" s="316"/>
      <c r="I5" s="316"/>
    </row>
    <row r="6" spans="1:9" ht="25.5" customHeight="1" x14ac:dyDescent="0.2">
      <c r="A6" s="236"/>
      <c r="B6" s="375" t="s">
        <v>175</v>
      </c>
      <c r="C6" s="375"/>
      <c r="D6" s="375" t="s">
        <v>183</v>
      </c>
      <c r="E6" s="375"/>
      <c r="F6" s="375" t="s">
        <v>163</v>
      </c>
      <c r="G6" s="375"/>
      <c r="H6" s="375" t="s">
        <v>176</v>
      </c>
      <c r="I6" s="375"/>
    </row>
    <row r="7" spans="1:9" x14ac:dyDescent="0.2">
      <c r="A7" s="236"/>
      <c r="B7" s="238" t="s">
        <v>4</v>
      </c>
      <c r="C7" s="238"/>
      <c r="D7" s="238" t="s">
        <v>4</v>
      </c>
      <c r="E7" s="238"/>
      <c r="F7" s="238" t="s">
        <v>4</v>
      </c>
      <c r="G7" s="238"/>
      <c r="H7" s="238" t="s">
        <v>4</v>
      </c>
      <c r="I7" s="239"/>
    </row>
    <row r="8" spans="1:9" ht="12.75" customHeight="1" x14ac:dyDescent="0.2">
      <c r="A8" s="240" t="s">
        <v>111</v>
      </c>
      <c r="B8" s="241"/>
      <c r="C8" s="241"/>
      <c r="D8" s="241"/>
      <c r="E8" s="241"/>
      <c r="F8" s="241"/>
      <c r="G8" s="241"/>
      <c r="H8" s="242"/>
      <c r="I8" s="242"/>
    </row>
    <row r="9" spans="1:9" ht="12.75" customHeight="1" x14ac:dyDescent="0.2">
      <c r="A9" s="243" t="s">
        <v>112</v>
      </c>
      <c r="B9" s="224">
        <v>19.473362850000001</v>
      </c>
      <c r="C9" s="224"/>
      <c r="D9" s="224">
        <v>21.712965969999999</v>
      </c>
      <c r="E9" s="224"/>
      <c r="F9" s="224">
        <v>21.823810000000002</v>
      </c>
      <c r="G9" s="224"/>
      <c r="H9" s="221">
        <v>80.604089999999999</v>
      </c>
      <c r="I9" s="220"/>
    </row>
    <row r="10" spans="1:9" ht="12.75" customHeight="1" x14ac:dyDescent="0.2">
      <c r="A10" s="243"/>
      <c r="B10" s="218"/>
      <c r="C10" s="218"/>
      <c r="D10" s="218"/>
      <c r="E10" s="218"/>
      <c r="F10" s="218"/>
      <c r="G10" s="218"/>
      <c r="H10" s="220"/>
      <c r="I10" s="220"/>
    </row>
    <row r="11" spans="1:9" ht="12.75" customHeight="1" x14ac:dyDescent="0.2">
      <c r="A11" s="243" t="s">
        <v>113</v>
      </c>
      <c r="B11" s="219">
        <v>239.88499999999999</v>
      </c>
      <c r="C11" s="304">
        <f>ROUND(B11/B9,2)</f>
        <v>12.32</v>
      </c>
      <c r="D11" s="219">
        <v>271.70794793000005</v>
      </c>
      <c r="E11" s="304">
        <f>ROUND(D11/D9,2)</f>
        <v>12.51</v>
      </c>
      <c r="F11" s="219">
        <v>270.88130000000001</v>
      </c>
      <c r="G11" s="304">
        <f>ROUND(F11/F9,2)</f>
        <v>12.41</v>
      </c>
      <c r="H11" s="222">
        <v>1006.7598</v>
      </c>
      <c r="I11" s="244">
        <f>ROUND(H11/H9,2)</f>
        <v>12.49</v>
      </c>
    </row>
    <row r="12" spans="1:9" ht="12.75" customHeight="1" x14ac:dyDescent="0.2">
      <c r="A12" s="243" t="s">
        <v>114</v>
      </c>
      <c r="B12" s="223">
        <v>209.929</v>
      </c>
      <c r="C12" s="245">
        <f>ROUND(B12/B9,2)</f>
        <v>10.78</v>
      </c>
      <c r="D12" s="223">
        <v>223.07874669999998</v>
      </c>
      <c r="E12" s="245">
        <f>ROUND(D12/D9,2)</f>
        <v>10.27</v>
      </c>
      <c r="F12" s="223">
        <v>215.52629999999999</v>
      </c>
      <c r="G12" s="245">
        <f>ROUND(F12/F9,2)</f>
        <v>9.8800000000000008</v>
      </c>
      <c r="H12" s="223">
        <v>849.04349999999999</v>
      </c>
      <c r="I12" s="245">
        <f>ROUND(H12/H9,2)</f>
        <v>10.53</v>
      </c>
    </row>
    <row r="13" spans="1:9" ht="12.75" customHeight="1" x14ac:dyDescent="0.2">
      <c r="A13" s="243" t="s">
        <v>115</v>
      </c>
      <c r="B13" s="224">
        <f t="shared" ref="B13:I13" si="0">B11-B12</f>
        <v>29.955999999999989</v>
      </c>
      <c r="C13" s="246">
        <f t="shared" si="0"/>
        <v>1.5400000000000009</v>
      </c>
      <c r="D13" s="224">
        <f t="shared" si="0"/>
        <v>48.629201230000064</v>
      </c>
      <c r="E13" s="246">
        <f t="shared" si="0"/>
        <v>2.2400000000000002</v>
      </c>
      <c r="F13" s="224">
        <f t="shared" si="0"/>
        <v>55.355000000000018</v>
      </c>
      <c r="G13" s="246">
        <f t="shared" si="0"/>
        <v>2.5299999999999994</v>
      </c>
      <c r="H13" s="224">
        <f t="shared" si="0"/>
        <v>157.71630000000005</v>
      </c>
      <c r="I13" s="246">
        <f t="shared" si="0"/>
        <v>1.9600000000000009</v>
      </c>
    </row>
    <row r="14" spans="1:9" ht="12.75" customHeight="1" x14ac:dyDescent="0.2">
      <c r="A14" s="243"/>
      <c r="B14" s="218"/>
      <c r="C14" s="218"/>
      <c r="D14" s="218"/>
      <c r="E14" s="218"/>
      <c r="F14" s="218"/>
      <c r="G14" s="218"/>
      <c r="H14" s="218"/>
      <c r="I14" s="218"/>
    </row>
    <row r="15" spans="1:9" ht="12.75" customHeight="1" x14ac:dyDescent="0.2">
      <c r="A15" s="240" t="s">
        <v>116</v>
      </c>
      <c r="B15" s="241"/>
      <c r="C15" s="241"/>
      <c r="D15" s="241"/>
      <c r="E15" s="241"/>
      <c r="F15" s="241"/>
      <c r="G15" s="241"/>
      <c r="H15" s="242"/>
      <c r="I15" s="242"/>
    </row>
    <row r="16" spans="1:9" ht="12.75" customHeight="1" x14ac:dyDescent="0.2">
      <c r="A16" s="243" t="s">
        <v>112</v>
      </c>
      <c r="B16" s="224">
        <v>1.80709382</v>
      </c>
      <c r="C16" s="218"/>
      <c r="D16" s="224">
        <v>2.22086549</v>
      </c>
      <c r="E16" s="218"/>
      <c r="F16" s="224">
        <v>2.4418600000000001</v>
      </c>
      <c r="G16" s="218"/>
      <c r="H16" s="221">
        <v>8.1918819999999997</v>
      </c>
      <c r="I16" s="220"/>
    </row>
    <row r="17" spans="1:9" ht="12.75" customHeight="1" x14ac:dyDescent="0.2">
      <c r="A17" s="243"/>
      <c r="B17" s="218"/>
      <c r="C17" s="218"/>
      <c r="D17" s="218"/>
      <c r="E17" s="218"/>
      <c r="F17" s="218"/>
      <c r="G17" s="218"/>
      <c r="H17" s="220"/>
      <c r="I17" s="220"/>
    </row>
    <row r="18" spans="1:9" ht="12.75" customHeight="1" x14ac:dyDescent="0.2">
      <c r="A18" s="243" t="s">
        <v>113</v>
      </c>
      <c r="B18" s="219">
        <v>164.11600000000001</v>
      </c>
      <c r="C18" s="304">
        <f>ROUND(B18/B16,2)</f>
        <v>90.82</v>
      </c>
      <c r="D18" s="219">
        <v>196.77630450000001</v>
      </c>
      <c r="E18" s="304">
        <f>ROUND(D18/D16,2)</f>
        <v>88.6</v>
      </c>
      <c r="F18" s="219">
        <v>160.20699999999999</v>
      </c>
      <c r="G18" s="304">
        <f>ROUND(F18/F16,2)</f>
        <v>65.61</v>
      </c>
      <c r="H18" s="222">
        <v>738.62710000000004</v>
      </c>
      <c r="I18" s="244">
        <f>ROUND(H18/H16,2)</f>
        <v>90.17</v>
      </c>
    </row>
    <row r="19" spans="1:9" ht="12.75" customHeight="1" x14ac:dyDescent="0.2">
      <c r="A19" s="243" t="s">
        <v>114</v>
      </c>
      <c r="B19" s="223">
        <v>107.514</v>
      </c>
      <c r="C19" s="245">
        <f>ROUND(B19/B16,2)</f>
        <v>59.5</v>
      </c>
      <c r="D19" s="223">
        <v>143.15113161000002</v>
      </c>
      <c r="E19" s="245">
        <f>ROUND(D19/D16,2)</f>
        <v>64.459999999999994</v>
      </c>
      <c r="F19" s="223">
        <v>129.36150000000001</v>
      </c>
      <c r="G19" s="245">
        <f>ROUND(F19/F16,2)</f>
        <v>52.98</v>
      </c>
      <c r="H19" s="223">
        <v>497.69868100000002</v>
      </c>
      <c r="I19" s="245">
        <f>ROUND(H19/H16,2)</f>
        <v>60.76</v>
      </c>
    </row>
    <row r="20" spans="1:9" ht="12.75" customHeight="1" x14ac:dyDescent="0.2">
      <c r="A20" s="243" t="s">
        <v>115</v>
      </c>
      <c r="B20" s="224">
        <f t="shared" ref="B20:G20" si="1">B18-B19</f>
        <v>56.602000000000018</v>
      </c>
      <c r="C20" s="246">
        <f t="shared" si="1"/>
        <v>31.319999999999993</v>
      </c>
      <c r="D20" s="224">
        <f t="shared" si="1"/>
        <v>53.625172889999988</v>
      </c>
      <c r="E20" s="246">
        <f t="shared" si="1"/>
        <v>24.14</v>
      </c>
      <c r="F20" s="224">
        <f t="shared" si="1"/>
        <v>30.845499999999987</v>
      </c>
      <c r="G20" s="246">
        <f t="shared" si="1"/>
        <v>12.630000000000003</v>
      </c>
      <c r="H20" s="224">
        <f>ROUND(H18-H19,1)</f>
        <v>240.9</v>
      </c>
      <c r="I20" s="246">
        <f>I18-I19</f>
        <v>29.410000000000004</v>
      </c>
    </row>
    <row r="21" spans="1:9" ht="12.75" customHeight="1" x14ac:dyDescent="0.2">
      <c r="A21" s="240"/>
      <c r="B21" s="241"/>
      <c r="C21" s="241"/>
      <c r="D21" s="241"/>
      <c r="E21" s="241"/>
      <c r="F21" s="241"/>
      <c r="G21" s="241"/>
      <c r="H21" s="241"/>
      <c r="I21" s="241"/>
    </row>
    <row r="22" spans="1:9" ht="12.75" customHeight="1" x14ac:dyDescent="0.2">
      <c r="A22" s="240" t="s">
        <v>117</v>
      </c>
      <c r="B22" s="241"/>
      <c r="C22" s="241"/>
      <c r="D22" s="241"/>
      <c r="E22" s="241"/>
      <c r="F22" s="241"/>
      <c r="G22" s="241"/>
      <c r="H22" s="242"/>
      <c r="I22" s="242"/>
    </row>
    <row r="23" spans="1:9" ht="12.75" customHeight="1" x14ac:dyDescent="0.2">
      <c r="A23" s="243" t="s">
        <v>112</v>
      </c>
      <c r="B23" s="224">
        <v>2.261949</v>
      </c>
      <c r="C23" s="218"/>
      <c r="D23" s="224">
        <v>2.3259114400000001</v>
      </c>
      <c r="E23" s="218"/>
      <c r="F23" s="224">
        <v>2.5096799999999999</v>
      </c>
      <c r="G23" s="218"/>
      <c r="H23" s="221">
        <v>9.2045300000000001</v>
      </c>
      <c r="I23" s="220"/>
    </row>
    <row r="24" spans="1:9" ht="12.75" customHeight="1" x14ac:dyDescent="0.2">
      <c r="A24" s="243"/>
      <c r="B24" s="218"/>
      <c r="C24" s="218"/>
      <c r="D24" s="218"/>
      <c r="E24" s="218"/>
      <c r="F24" s="218"/>
      <c r="G24" s="218"/>
      <c r="H24" s="220"/>
      <c r="I24" s="220"/>
    </row>
    <row r="25" spans="1:9" ht="12.75" customHeight="1" x14ac:dyDescent="0.2">
      <c r="A25" s="243" t="s">
        <v>113</v>
      </c>
      <c r="B25" s="219">
        <v>80.147000000000006</v>
      </c>
      <c r="C25" s="304">
        <f>ROUND(B25/B23,2)</f>
        <v>35.43</v>
      </c>
      <c r="D25" s="219">
        <v>81.601800859999997</v>
      </c>
      <c r="E25" s="304">
        <f>ROUND(D25/D23,2)</f>
        <v>35.08</v>
      </c>
      <c r="F25" s="219">
        <v>85.363969999999995</v>
      </c>
      <c r="G25" s="304">
        <f>ROUND(F25/F23,2)</f>
        <v>34.01</v>
      </c>
      <c r="H25" s="222">
        <v>320.813174</v>
      </c>
      <c r="I25" s="244">
        <f>ROUND(H25/H23,2)</f>
        <v>34.85</v>
      </c>
    </row>
    <row r="26" spans="1:9" ht="12.75" customHeight="1" x14ac:dyDescent="0.2">
      <c r="A26" s="243" t="s">
        <v>114</v>
      </c>
      <c r="B26" s="223">
        <v>56.267000000000003</v>
      </c>
      <c r="C26" s="245">
        <f>ROUND(B26/B23,2)</f>
        <v>24.88</v>
      </c>
      <c r="D26" s="223">
        <v>60.592557859999999</v>
      </c>
      <c r="E26" s="245">
        <f>ROUND(D26/D23,2)</f>
        <v>26.05</v>
      </c>
      <c r="F26" s="223">
        <v>54.680619999999998</v>
      </c>
      <c r="G26" s="245">
        <f>ROUND(F26/F23,2)</f>
        <v>21.79</v>
      </c>
      <c r="H26" s="223">
        <v>222.73752099999999</v>
      </c>
      <c r="I26" s="245">
        <f>ROUND(H26/H23,2)</f>
        <v>24.2</v>
      </c>
    </row>
    <row r="27" spans="1:9" ht="12.75" customHeight="1" x14ac:dyDescent="0.2">
      <c r="A27" s="243" t="s">
        <v>115</v>
      </c>
      <c r="B27" s="224">
        <f t="shared" ref="B27:I27" si="2">B25-B26</f>
        <v>23.880000000000003</v>
      </c>
      <c r="C27" s="246">
        <f t="shared" si="2"/>
        <v>10.55</v>
      </c>
      <c r="D27" s="224">
        <f t="shared" si="2"/>
        <v>21.009242999999998</v>
      </c>
      <c r="E27" s="246">
        <f t="shared" si="2"/>
        <v>9.0299999999999976</v>
      </c>
      <c r="F27" s="224">
        <f t="shared" si="2"/>
        <v>30.683349999999997</v>
      </c>
      <c r="G27" s="246">
        <f t="shared" si="2"/>
        <v>12.219999999999999</v>
      </c>
      <c r="H27" s="224">
        <f t="shared" si="2"/>
        <v>98.075653000000017</v>
      </c>
      <c r="I27" s="246">
        <f t="shared" si="2"/>
        <v>10.650000000000002</v>
      </c>
    </row>
    <row r="28" spans="1:9" ht="12.75" customHeight="1" x14ac:dyDescent="0.2">
      <c r="A28" s="240"/>
      <c r="B28" s="241"/>
      <c r="C28" s="241"/>
      <c r="D28" s="241"/>
      <c r="E28" s="241"/>
      <c r="F28" s="241"/>
      <c r="G28" s="241"/>
      <c r="H28" s="241"/>
      <c r="I28" s="241"/>
    </row>
    <row r="29" spans="1:9" ht="12.75" customHeight="1" x14ac:dyDescent="0.2">
      <c r="A29" s="240" t="s">
        <v>118</v>
      </c>
      <c r="B29" s="219">
        <f>B13+B20+B27</f>
        <v>110.43800000000002</v>
      </c>
      <c r="C29" s="241"/>
      <c r="D29" s="219">
        <f>D13+D20+D27</f>
        <v>123.26361712000005</v>
      </c>
      <c r="E29" s="241"/>
      <c r="F29" s="219">
        <f>F13+F20+F27</f>
        <v>116.88385</v>
      </c>
      <c r="G29" s="241"/>
      <c r="H29" s="219">
        <f>H13+H20+H27</f>
        <v>496.69195300000001</v>
      </c>
      <c r="I29" s="241"/>
    </row>
    <row r="30" spans="1:9" ht="12.75" customHeight="1" x14ac:dyDescent="0.2">
      <c r="A30" s="240"/>
      <c r="B30" s="241"/>
      <c r="C30" s="241"/>
      <c r="D30" s="241"/>
      <c r="E30" s="241"/>
      <c r="F30" s="241"/>
      <c r="G30" s="241"/>
      <c r="H30" s="241"/>
      <c r="I30" s="241"/>
    </row>
    <row r="31" spans="1:9" ht="12.75" customHeight="1" x14ac:dyDescent="0.2">
      <c r="A31" s="240" t="s">
        <v>10</v>
      </c>
      <c r="B31" s="224">
        <v>-23.100297619999999</v>
      </c>
      <c r="C31" s="241"/>
      <c r="D31" s="224">
        <v>-21.1</v>
      </c>
      <c r="E31" s="241"/>
      <c r="F31" s="224">
        <v>-22.835999999999999</v>
      </c>
      <c r="G31" s="241"/>
      <c r="H31" s="224">
        <v>-86.821391000000006</v>
      </c>
      <c r="I31" s="241"/>
    </row>
    <row r="32" spans="1:9" ht="12.75" customHeight="1" x14ac:dyDescent="0.2">
      <c r="A32" s="240" t="s">
        <v>119</v>
      </c>
      <c r="B32" s="224">
        <v>0</v>
      </c>
      <c r="C32" s="241"/>
      <c r="D32" s="224">
        <v>0</v>
      </c>
      <c r="E32" s="241"/>
      <c r="F32" s="224">
        <v>0</v>
      </c>
      <c r="G32" s="241"/>
      <c r="H32" s="224">
        <v>0</v>
      </c>
      <c r="I32" s="241"/>
    </row>
    <row r="33" spans="1:9" ht="12.75" customHeight="1" x14ac:dyDescent="0.2">
      <c r="A33" s="240" t="s">
        <v>52</v>
      </c>
      <c r="B33" s="223">
        <f>10.0035703+0.3</f>
        <v>10.303570300000001</v>
      </c>
      <c r="C33" s="241"/>
      <c r="D33" s="223">
        <v>2.1</v>
      </c>
      <c r="E33" s="241"/>
      <c r="F33" s="223">
        <v>0.44901200000000002</v>
      </c>
      <c r="G33" s="241"/>
      <c r="H33" s="223">
        <f>7.581024+0.3</f>
        <v>7.881024</v>
      </c>
      <c r="I33" s="241"/>
    </row>
    <row r="34" spans="1:9" ht="12.75" customHeight="1" x14ac:dyDescent="0.2">
      <c r="A34" s="240"/>
      <c r="B34" s="241"/>
      <c r="C34" s="241"/>
      <c r="D34" s="241"/>
      <c r="E34" s="241"/>
      <c r="F34" s="241"/>
      <c r="G34" s="241"/>
      <c r="H34" s="241"/>
      <c r="I34" s="241"/>
    </row>
    <row r="35" spans="1:9" ht="12.75" customHeight="1" thickBot="1" x14ac:dyDescent="0.25">
      <c r="A35" s="240" t="s">
        <v>87</v>
      </c>
      <c r="B35" s="247">
        <f>SUM(B29:B33)</f>
        <v>97.641272680000029</v>
      </c>
      <c r="C35" s="241"/>
      <c r="D35" s="247">
        <f>SUM(D29:D33)</f>
        <v>104.26361712000005</v>
      </c>
      <c r="E35" s="241"/>
      <c r="F35" s="247">
        <f>SUM(F29:F33)</f>
        <v>94.496861999999993</v>
      </c>
      <c r="G35" s="241"/>
      <c r="H35" s="247">
        <f>SUM(H29:H33)</f>
        <v>417.75158600000003</v>
      </c>
      <c r="I35" s="241"/>
    </row>
    <row r="36" spans="1:9" ht="12.75" customHeight="1" thickTop="1" x14ac:dyDescent="0.2">
      <c r="A36" s="240"/>
      <c r="B36" s="305"/>
      <c r="C36" s="241"/>
      <c r="D36" s="241"/>
      <c r="E36" s="241"/>
      <c r="F36" s="241"/>
      <c r="G36" s="241"/>
      <c r="H36" s="241"/>
      <c r="I36" s="241"/>
    </row>
    <row r="37" spans="1:9" ht="12.75" customHeight="1" x14ac:dyDescent="0.2">
      <c r="A37" s="254"/>
      <c r="B37" s="241"/>
      <c r="C37" s="241"/>
      <c r="D37" s="241"/>
      <c r="E37" s="241"/>
      <c r="F37" s="241"/>
      <c r="G37" s="241"/>
      <c r="H37" s="241"/>
      <c r="I37" s="241"/>
    </row>
    <row r="38" spans="1:9" x14ac:dyDescent="0.2">
      <c r="A38" s="240"/>
      <c r="B38" s="255"/>
      <c r="C38" s="240"/>
      <c r="D38" s="240"/>
      <c r="E38" s="240"/>
      <c r="F38" s="240"/>
      <c r="G38" s="240"/>
      <c r="H38" s="240"/>
      <c r="I38" s="240"/>
    </row>
    <row r="39" spans="1:9" x14ac:dyDescent="0.2">
      <c r="A39" s="240"/>
      <c r="B39" s="240"/>
      <c r="C39" s="240"/>
      <c r="D39" s="240"/>
      <c r="E39" s="240"/>
      <c r="F39" s="240"/>
      <c r="G39" s="240"/>
      <c r="H39" s="240"/>
      <c r="I39" s="240"/>
    </row>
  </sheetData>
  <mergeCells count="7">
    <mergeCell ref="A1:I1"/>
    <mergeCell ref="A2:I2"/>
    <mergeCell ref="A3:I3"/>
    <mergeCell ref="B6:C6"/>
    <mergeCell ref="H6:I6"/>
    <mergeCell ref="D6:E6"/>
    <mergeCell ref="F6:G6"/>
  </mergeCells>
  <pageMargins left="0.7" right="0.7" top="0.75" bottom="0.75" header="0.3" footer="0.3"/>
  <pageSetup scale="65" orientation="portrait" r:id="rId1"/>
  <ignoredErrors>
    <ignoredError sqref="J9:K12 J16:K19 J23:K26 J31:K33 J35:K35 J13:K15 J20:K22 J27:K30 J34:K34 J36:K37 J38:K39" formulaRange="1"/>
    <ignoredError sqref="H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71"/>
  <sheetViews>
    <sheetView tabSelected="1" workbookViewId="0">
      <selection activeCell="A13" sqref="A13"/>
    </sheetView>
  </sheetViews>
  <sheetFormatPr defaultRowHeight="12.75" x14ac:dyDescent="0.2"/>
  <cols>
    <col min="1" max="1" width="59.6640625" style="237" bestFit="1" customWidth="1"/>
    <col min="2" max="6" width="20.83203125" style="237" customWidth="1"/>
    <col min="7" max="7" width="9.33203125" style="237"/>
    <col min="8" max="8" width="14.33203125" style="237" customWidth="1"/>
    <col min="9" max="16384" width="9.33203125" style="237"/>
  </cols>
  <sheetData>
    <row r="1" spans="1:9" ht="15.75" x14ac:dyDescent="0.25">
      <c r="A1" s="371" t="s">
        <v>0</v>
      </c>
      <c r="B1" s="371"/>
      <c r="C1" s="372"/>
      <c r="D1" s="372"/>
      <c r="E1" s="372"/>
      <c r="F1" s="372"/>
      <c r="G1" s="372"/>
      <c r="H1" s="373"/>
      <c r="I1" s="373"/>
    </row>
    <row r="2" spans="1:9" ht="15.75" x14ac:dyDescent="0.25">
      <c r="A2" s="371" t="s">
        <v>184</v>
      </c>
      <c r="B2" s="371"/>
      <c r="C2" s="372"/>
      <c r="D2" s="372"/>
      <c r="E2" s="372"/>
      <c r="F2" s="372"/>
      <c r="G2" s="372"/>
      <c r="H2" s="374"/>
      <c r="I2" s="372"/>
    </row>
    <row r="3" spans="1:9" ht="15.75" x14ac:dyDescent="0.25">
      <c r="A3" s="371" t="s">
        <v>110</v>
      </c>
      <c r="B3" s="371"/>
      <c r="C3" s="372"/>
      <c r="D3" s="372"/>
      <c r="E3" s="372"/>
      <c r="F3" s="372"/>
      <c r="G3" s="372"/>
      <c r="H3" s="374"/>
      <c r="I3" s="372"/>
    </row>
    <row r="4" spans="1:9" x14ac:dyDescent="0.2">
      <c r="A4" s="314"/>
      <c r="B4" s="314"/>
      <c r="C4" s="314"/>
      <c r="D4" s="314"/>
      <c r="E4" s="314"/>
      <c r="F4" s="314"/>
      <c r="G4" s="314"/>
      <c r="H4" s="314"/>
      <c r="I4" s="314"/>
    </row>
    <row r="5" spans="1:9" x14ac:dyDescent="0.2">
      <c r="A5" s="369" t="s">
        <v>48</v>
      </c>
      <c r="B5" s="366"/>
      <c r="C5" s="366"/>
      <c r="D5" s="366"/>
      <c r="E5" s="366"/>
      <c r="F5" s="366"/>
      <c r="G5" s="358"/>
      <c r="H5" s="358"/>
      <c r="I5" s="358"/>
    </row>
    <row r="6" spans="1:9" x14ac:dyDescent="0.2">
      <c r="A6" s="369" t="s">
        <v>219</v>
      </c>
      <c r="B6" s="366"/>
      <c r="C6" s="366"/>
      <c r="D6" s="366"/>
      <c r="E6" s="366"/>
      <c r="F6" s="366"/>
      <c r="G6" s="358"/>
      <c r="H6" s="358"/>
      <c r="I6" s="358"/>
    </row>
    <row r="7" spans="1:9" x14ac:dyDescent="0.2">
      <c r="A7" s="358"/>
      <c r="B7" s="358"/>
      <c r="C7" s="358"/>
      <c r="D7" s="358"/>
      <c r="E7" s="358"/>
      <c r="F7" s="358"/>
      <c r="G7" s="358"/>
      <c r="H7" s="358"/>
      <c r="I7" s="358"/>
    </row>
    <row r="8" spans="1:9" x14ac:dyDescent="0.2">
      <c r="A8" s="344" t="s">
        <v>220</v>
      </c>
      <c r="B8" s="342"/>
      <c r="C8" s="342"/>
      <c r="D8" s="342"/>
      <c r="E8" s="342"/>
      <c r="F8" s="342"/>
    </row>
    <row r="9" spans="1:9" x14ac:dyDescent="0.2">
      <c r="A9" s="376"/>
      <c r="B9" s="376"/>
      <c r="C9" s="376"/>
      <c r="D9" s="376"/>
      <c r="E9" s="376"/>
      <c r="F9" s="376"/>
    </row>
    <row r="10" spans="1:9" x14ac:dyDescent="0.2">
      <c r="A10" s="345" t="s">
        <v>221</v>
      </c>
      <c r="B10" s="345"/>
      <c r="C10" s="345"/>
      <c r="D10" s="345"/>
      <c r="E10" s="345"/>
      <c r="F10" s="345"/>
    </row>
    <row r="11" spans="1:9" x14ac:dyDescent="0.2">
      <c r="A11" s="345" t="s">
        <v>201</v>
      </c>
      <c r="B11" s="343"/>
      <c r="C11" s="343"/>
      <c r="D11" s="343"/>
      <c r="E11" s="343"/>
      <c r="F11" s="343"/>
    </row>
    <row r="12" spans="1:9" ht="12.75" customHeight="1" x14ac:dyDescent="0.2">
      <c r="A12" s="346" t="s">
        <v>225</v>
      </c>
      <c r="B12" s="347"/>
      <c r="C12" s="347"/>
      <c r="D12" s="347"/>
      <c r="E12" s="347"/>
      <c r="F12" s="347"/>
    </row>
    <row r="13" spans="1:9" x14ac:dyDescent="0.2">
      <c r="A13" s="346" t="s">
        <v>222</v>
      </c>
      <c r="B13" s="347"/>
      <c r="C13" s="347"/>
      <c r="D13" s="347"/>
      <c r="E13" s="347"/>
      <c r="F13" s="347"/>
    </row>
    <row r="14" spans="1:9" x14ac:dyDescent="0.2">
      <c r="A14" s="346" t="s">
        <v>223</v>
      </c>
      <c r="B14" s="347"/>
      <c r="C14" s="347"/>
      <c r="D14" s="347"/>
      <c r="E14" s="347"/>
      <c r="F14" s="347"/>
    </row>
    <row r="15" spans="1:9" x14ac:dyDescent="0.2">
      <c r="A15" s="346" t="s">
        <v>224</v>
      </c>
      <c r="B15" s="347"/>
      <c r="C15" s="347"/>
      <c r="D15" s="347"/>
      <c r="E15" s="347"/>
      <c r="F15" s="347"/>
    </row>
    <row r="16" spans="1:9" x14ac:dyDescent="0.2">
      <c r="A16" s="237" t="s">
        <v>155</v>
      </c>
    </row>
    <row r="18" spans="1:6" ht="30" x14ac:dyDescent="0.25">
      <c r="A18" s="317" t="s">
        <v>185</v>
      </c>
      <c r="B18" s="318" t="s">
        <v>111</v>
      </c>
      <c r="C18" s="319" t="s">
        <v>116</v>
      </c>
      <c r="D18" s="319" t="s">
        <v>117</v>
      </c>
      <c r="E18" s="319" t="s">
        <v>186</v>
      </c>
      <c r="F18" s="320" t="s">
        <v>187</v>
      </c>
    </row>
    <row r="19" spans="1:6" x14ac:dyDescent="0.2">
      <c r="A19" s="313" t="s">
        <v>16</v>
      </c>
      <c r="B19" s="321"/>
      <c r="C19" s="322"/>
      <c r="D19" s="322"/>
      <c r="E19" s="322"/>
      <c r="F19" s="322"/>
    </row>
    <row r="20" spans="1:6" ht="25.5" x14ac:dyDescent="0.2">
      <c r="A20" s="313" t="s">
        <v>188</v>
      </c>
      <c r="B20" s="323">
        <v>244191.1153</v>
      </c>
      <c r="C20" s="323">
        <v>195661.34849999999</v>
      </c>
      <c r="D20" s="323">
        <v>109099.98669999999</v>
      </c>
      <c r="E20" s="323">
        <v>11292</v>
      </c>
      <c r="F20" s="323">
        <v>560244.45050000004</v>
      </c>
    </row>
    <row r="21" spans="1:6" x14ac:dyDescent="0.2">
      <c r="A21" s="313" t="s">
        <v>189</v>
      </c>
      <c r="B21" s="324">
        <v>0</v>
      </c>
      <c r="C21" s="325">
        <v>0</v>
      </c>
      <c r="D21" s="325">
        <v>0</v>
      </c>
      <c r="E21" s="324">
        <v>0</v>
      </c>
      <c r="F21" s="324">
        <v>0</v>
      </c>
    </row>
    <row r="22" spans="1:6" x14ac:dyDescent="0.2">
      <c r="A22" s="313" t="s">
        <v>190</v>
      </c>
      <c r="B22" s="326">
        <v>244191.1153</v>
      </c>
      <c r="C22" s="326">
        <v>195661.34849999999</v>
      </c>
      <c r="D22" s="326">
        <v>109099.98669999999</v>
      </c>
      <c r="E22" s="326">
        <v>11292</v>
      </c>
      <c r="F22" s="326">
        <v>560244.45050000004</v>
      </c>
    </row>
    <row r="23" spans="1:6" ht="25.5" x14ac:dyDescent="0.2">
      <c r="A23" s="313" t="s">
        <v>191</v>
      </c>
      <c r="B23" s="323"/>
      <c r="C23" s="323"/>
      <c r="D23" s="323"/>
      <c r="E23" s="323"/>
      <c r="F23" s="323"/>
    </row>
    <row r="24" spans="1:6" ht="25.5" x14ac:dyDescent="0.2">
      <c r="A24" s="327" t="s">
        <v>192</v>
      </c>
      <c r="B24" s="324">
        <v>0</v>
      </c>
      <c r="C24" s="325">
        <v>0</v>
      </c>
      <c r="D24" s="325">
        <v>181.5</v>
      </c>
      <c r="E24" s="325">
        <v>0</v>
      </c>
      <c r="F24" s="328">
        <v>181.5</v>
      </c>
    </row>
    <row r="25" spans="1:6" ht="25.5" x14ac:dyDescent="0.2">
      <c r="A25" s="327" t="s">
        <v>193</v>
      </c>
      <c r="B25" s="324">
        <v>0</v>
      </c>
      <c r="C25" s="325">
        <v>0</v>
      </c>
      <c r="D25" s="325">
        <v>0</v>
      </c>
      <c r="E25" s="325">
        <v>11291</v>
      </c>
      <c r="F25" s="324">
        <v>11291</v>
      </c>
    </row>
    <row r="26" spans="1:6" x14ac:dyDescent="0.2">
      <c r="A26" s="327" t="s">
        <v>194</v>
      </c>
      <c r="B26" s="324">
        <v>4306</v>
      </c>
      <c r="C26" s="325">
        <v>31545</v>
      </c>
      <c r="D26" s="329">
        <v>28771</v>
      </c>
      <c r="E26" s="325">
        <v>1</v>
      </c>
      <c r="F26" s="324">
        <v>64623</v>
      </c>
    </row>
    <row r="27" spans="1:6" x14ac:dyDescent="0.2">
      <c r="A27" s="313" t="s">
        <v>195</v>
      </c>
      <c r="B27" s="330">
        <v>239885.1153</v>
      </c>
      <c r="C27" s="330">
        <v>164116.34849999999</v>
      </c>
      <c r="D27" s="330">
        <v>80147.486699999994</v>
      </c>
      <c r="E27" s="330">
        <v>0</v>
      </c>
      <c r="F27" s="330">
        <v>484148.95050000004</v>
      </c>
    </row>
    <row r="28" spans="1:6" x14ac:dyDescent="0.2">
      <c r="A28" s="313" t="s">
        <v>196</v>
      </c>
      <c r="B28" s="324">
        <v>19473.362850000001</v>
      </c>
      <c r="C28" s="324">
        <v>1807.0938200000001</v>
      </c>
      <c r="D28" s="324">
        <v>2261.9490000000001</v>
      </c>
      <c r="E28" s="323"/>
      <c r="F28" s="323"/>
    </row>
    <row r="29" spans="1:6" x14ac:dyDescent="0.2">
      <c r="A29" s="313" t="s">
        <v>197</v>
      </c>
      <c r="B29" s="331">
        <v>12.318628125393349</v>
      </c>
      <c r="C29" s="331">
        <v>90.817835069570421</v>
      </c>
      <c r="D29" s="331">
        <v>35.432932705379294</v>
      </c>
      <c r="E29" s="323"/>
      <c r="F29" s="323"/>
    </row>
    <row r="30" spans="1:6" x14ac:dyDescent="0.2">
      <c r="A30" s="332"/>
      <c r="B30" s="332"/>
      <c r="C30" s="332"/>
      <c r="D30" s="332"/>
      <c r="E30" s="332"/>
      <c r="F30" s="332"/>
    </row>
    <row r="31" spans="1:6" x14ac:dyDescent="0.2">
      <c r="A31" s="332"/>
      <c r="B31" s="332"/>
      <c r="C31" s="332"/>
      <c r="D31" s="332"/>
      <c r="E31" s="332"/>
      <c r="F31" s="332"/>
    </row>
    <row r="32" spans="1:6" ht="30" x14ac:dyDescent="0.25">
      <c r="A32" s="317" t="s">
        <v>198</v>
      </c>
      <c r="B32" s="318" t="s">
        <v>111</v>
      </c>
      <c r="C32" s="319" t="s">
        <v>116</v>
      </c>
      <c r="D32" s="319" t="s">
        <v>117</v>
      </c>
      <c r="E32" s="319" t="s">
        <v>186</v>
      </c>
      <c r="F32" s="320" t="s">
        <v>187</v>
      </c>
    </row>
    <row r="33" spans="1:6" x14ac:dyDescent="0.2">
      <c r="A33" s="313" t="s">
        <v>16</v>
      </c>
      <c r="B33" s="321"/>
      <c r="C33" s="322"/>
      <c r="D33" s="322"/>
      <c r="E33" s="322"/>
      <c r="F33" s="322"/>
    </row>
    <row r="34" spans="1:6" ht="25.5" x14ac:dyDescent="0.2">
      <c r="A34" s="313" t="s">
        <v>188</v>
      </c>
      <c r="B34" s="323">
        <v>275998.94790000003</v>
      </c>
      <c r="C34" s="323">
        <v>238946.3045</v>
      </c>
      <c r="D34" s="323">
        <v>93859.450899999996</v>
      </c>
      <c r="E34" s="323">
        <v>4734.3999999999996</v>
      </c>
      <c r="F34" s="323">
        <v>613539.10329999996</v>
      </c>
    </row>
    <row r="35" spans="1:6" x14ac:dyDescent="0.2">
      <c r="A35" s="313" t="s">
        <v>189</v>
      </c>
      <c r="B35" s="324">
        <v>0</v>
      </c>
      <c r="C35" s="325">
        <v>0</v>
      </c>
      <c r="D35" s="325">
        <v>0</v>
      </c>
      <c r="E35" s="324">
        <v>0</v>
      </c>
      <c r="F35" s="324">
        <v>0</v>
      </c>
    </row>
    <row r="36" spans="1:6" x14ac:dyDescent="0.2">
      <c r="A36" s="313" t="s">
        <v>190</v>
      </c>
      <c r="B36" s="326">
        <v>275998.94790000003</v>
      </c>
      <c r="C36" s="326">
        <v>238946.3045</v>
      </c>
      <c r="D36" s="326">
        <v>93859.450899999996</v>
      </c>
      <c r="E36" s="326">
        <v>4734.3999999999996</v>
      </c>
      <c r="F36" s="326">
        <v>613539.10329999996</v>
      </c>
    </row>
    <row r="37" spans="1:6" ht="25.5" x14ac:dyDescent="0.2">
      <c r="A37" s="313" t="s">
        <v>191</v>
      </c>
      <c r="B37" s="323"/>
      <c r="C37" s="323"/>
      <c r="D37" s="323"/>
      <c r="E37" s="323"/>
      <c r="F37" s="323"/>
    </row>
    <row r="38" spans="1:6" ht="25.5" x14ac:dyDescent="0.2">
      <c r="A38" s="327" t="s">
        <v>192</v>
      </c>
      <c r="B38" s="324">
        <v>0</v>
      </c>
      <c r="C38" s="325">
        <v>0</v>
      </c>
      <c r="D38" s="325">
        <v>18.649999999999999</v>
      </c>
      <c r="E38" s="325">
        <v>0</v>
      </c>
      <c r="F38" s="328">
        <v>18.649999999999999</v>
      </c>
    </row>
    <row r="39" spans="1:6" ht="25.5" x14ac:dyDescent="0.2">
      <c r="A39" s="327" t="s">
        <v>193</v>
      </c>
      <c r="B39" s="324">
        <v>0</v>
      </c>
      <c r="C39" s="325">
        <v>0</v>
      </c>
      <c r="D39" s="325">
        <v>0</v>
      </c>
      <c r="E39" s="325">
        <v>3720</v>
      </c>
      <c r="F39" s="324">
        <v>3720</v>
      </c>
    </row>
    <row r="40" spans="1:6" x14ac:dyDescent="0.2">
      <c r="A40" s="327" t="s">
        <v>194</v>
      </c>
      <c r="B40" s="324">
        <v>4291</v>
      </c>
      <c r="C40" s="325">
        <v>42170</v>
      </c>
      <c r="D40" s="329">
        <v>12239</v>
      </c>
      <c r="E40" s="325">
        <v>1014.4</v>
      </c>
      <c r="F40" s="324">
        <v>59714.400000000001</v>
      </c>
    </row>
    <row r="41" spans="1:6" x14ac:dyDescent="0.2">
      <c r="A41" s="313" t="s">
        <v>195</v>
      </c>
      <c r="B41" s="330">
        <v>271707.94790000003</v>
      </c>
      <c r="C41" s="330">
        <v>196776.3045</v>
      </c>
      <c r="D41" s="330">
        <v>81601.800900000002</v>
      </c>
      <c r="E41" s="330">
        <v>0</v>
      </c>
      <c r="F41" s="330">
        <v>550086.05330000003</v>
      </c>
    </row>
    <row r="42" spans="1:6" x14ac:dyDescent="0.2">
      <c r="A42" s="313" t="s">
        <v>196</v>
      </c>
      <c r="B42" s="324">
        <v>21712.965970000001</v>
      </c>
      <c r="C42" s="324">
        <v>2220.8654900000001</v>
      </c>
      <c r="D42" s="324">
        <v>2325.9114399999999</v>
      </c>
      <c r="E42" s="323"/>
      <c r="F42" s="323"/>
    </row>
    <row r="43" spans="1:6" x14ac:dyDescent="0.2">
      <c r="A43" s="313" t="s">
        <v>197</v>
      </c>
      <c r="B43" s="331">
        <v>12.513626571119248</v>
      </c>
      <c r="C43" s="331">
        <v>88.603432034058031</v>
      </c>
      <c r="D43" s="331">
        <v>35.083795322834824</v>
      </c>
      <c r="E43" s="323"/>
      <c r="F43" s="323"/>
    </row>
    <row r="44" spans="1:6" x14ac:dyDescent="0.2">
      <c r="A44" s="312"/>
      <c r="B44" s="333"/>
      <c r="C44" s="333"/>
      <c r="D44" s="333"/>
      <c r="E44" s="333"/>
      <c r="F44" s="333"/>
    </row>
    <row r="45" spans="1:6" ht="15" x14ac:dyDescent="0.25">
      <c r="A45" s="334"/>
      <c r="B45" s="335"/>
      <c r="C45" s="336"/>
      <c r="D45" s="337"/>
      <c r="E45" s="337"/>
      <c r="F45" s="336"/>
    </row>
    <row r="46" spans="1:6" ht="30" x14ac:dyDescent="0.25">
      <c r="A46" s="317" t="s">
        <v>199</v>
      </c>
      <c r="B46" s="318" t="s">
        <v>111</v>
      </c>
      <c r="C46" s="319" t="s">
        <v>116</v>
      </c>
      <c r="D46" s="319" t="s">
        <v>117</v>
      </c>
      <c r="E46" s="319" t="s">
        <v>186</v>
      </c>
      <c r="F46" s="320" t="s">
        <v>187</v>
      </c>
    </row>
    <row r="47" spans="1:6" x14ac:dyDescent="0.2">
      <c r="A47" s="313" t="s">
        <v>16</v>
      </c>
      <c r="B47" s="321"/>
      <c r="C47" s="322"/>
      <c r="D47" s="322"/>
      <c r="E47" s="322"/>
      <c r="F47" s="322"/>
    </row>
    <row r="48" spans="1:6" ht="25.5" x14ac:dyDescent="0.2">
      <c r="A48" s="313" t="s">
        <v>188</v>
      </c>
      <c r="B48" s="323">
        <v>275702.40330000001</v>
      </c>
      <c r="C48" s="323">
        <v>200377.96230000001</v>
      </c>
      <c r="D48" s="323">
        <v>97382.169399999999</v>
      </c>
      <c r="E48" s="323">
        <v>2225.5</v>
      </c>
      <c r="F48" s="323">
        <v>575688.03500000003</v>
      </c>
    </row>
    <row r="49" spans="1:6" x14ac:dyDescent="0.2">
      <c r="A49" s="313" t="s">
        <v>189</v>
      </c>
      <c r="B49" s="324">
        <v>0</v>
      </c>
      <c r="C49" s="325">
        <v>0</v>
      </c>
      <c r="D49" s="325">
        <v>0</v>
      </c>
      <c r="E49" s="324">
        <v>0</v>
      </c>
      <c r="F49" s="324">
        <v>0</v>
      </c>
    </row>
    <row r="50" spans="1:6" x14ac:dyDescent="0.2">
      <c r="A50" s="313" t="s">
        <v>190</v>
      </c>
      <c r="B50" s="326">
        <v>275702.40330000001</v>
      </c>
      <c r="C50" s="326">
        <v>200377.96230000001</v>
      </c>
      <c r="D50" s="326">
        <v>97382.169399999999</v>
      </c>
      <c r="E50" s="326">
        <v>2225.5</v>
      </c>
      <c r="F50" s="326">
        <v>575688.03500000003</v>
      </c>
    </row>
    <row r="51" spans="1:6" ht="25.5" x14ac:dyDescent="0.2">
      <c r="A51" s="313" t="s">
        <v>191</v>
      </c>
      <c r="B51" s="323"/>
      <c r="C51" s="323"/>
      <c r="D51" s="323"/>
      <c r="E51" s="323"/>
      <c r="F51" s="323"/>
    </row>
    <row r="52" spans="1:6" ht="25.5" x14ac:dyDescent="0.2">
      <c r="A52" s="327" t="s">
        <v>192</v>
      </c>
      <c r="B52" s="324">
        <v>0</v>
      </c>
      <c r="C52" s="325">
        <v>0</v>
      </c>
      <c r="D52" s="325">
        <v>-111.8</v>
      </c>
      <c r="E52" s="325">
        <v>0</v>
      </c>
      <c r="F52" s="328">
        <v>-111.8</v>
      </c>
    </row>
    <row r="53" spans="1:6" ht="25.5" x14ac:dyDescent="0.2">
      <c r="A53" s="327" t="s">
        <v>193</v>
      </c>
      <c r="B53" s="324">
        <v>0</v>
      </c>
      <c r="C53" s="325">
        <v>0</v>
      </c>
      <c r="D53" s="325">
        <v>0</v>
      </c>
      <c r="E53" s="325">
        <v>2181</v>
      </c>
      <c r="F53" s="324">
        <v>2181</v>
      </c>
    </row>
    <row r="54" spans="1:6" x14ac:dyDescent="0.2">
      <c r="A54" s="327" t="s">
        <v>194</v>
      </c>
      <c r="B54" s="324">
        <v>4825</v>
      </c>
      <c r="C54" s="325">
        <v>40171</v>
      </c>
      <c r="D54" s="329">
        <v>12130</v>
      </c>
      <c r="E54" s="325">
        <v>44.5</v>
      </c>
      <c r="F54" s="324">
        <v>57170.5</v>
      </c>
    </row>
    <row r="55" spans="1:6" x14ac:dyDescent="0.2">
      <c r="A55" s="313" t="s">
        <v>195</v>
      </c>
      <c r="B55" s="330">
        <v>270877.40330000001</v>
      </c>
      <c r="C55" s="330">
        <v>160206.96230000001</v>
      </c>
      <c r="D55" s="330">
        <v>85363.969400000002</v>
      </c>
      <c r="E55" s="330">
        <v>0</v>
      </c>
      <c r="F55" s="330">
        <v>516448.33500000002</v>
      </c>
    </row>
    <row r="56" spans="1:6" x14ac:dyDescent="0.2">
      <c r="A56" s="313" t="s">
        <v>196</v>
      </c>
      <c r="B56" s="324">
        <v>21823.80615</v>
      </c>
      <c r="C56" s="324">
        <v>2441.8602000000001</v>
      </c>
      <c r="D56" s="324">
        <v>2509.67956</v>
      </c>
      <c r="E56" s="323"/>
      <c r="F56" s="323"/>
    </row>
    <row r="57" spans="1:6" x14ac:dyDescent="0.2">
      <c r="A57" s="313" t="s">
        <v>197</v>
      </c>
      <c r="B57" s="331">
        <v>12.412014725488202</v>
      </c>
      <c r="C57" s="331">
        <v>65.608572636549795</v>
      </c>
      <c r="D57" s="331">
        <v>34.013891956788299</v>
      </c>
      <c r="E57" s="323"/>
      <c r="F57" s="323"/>
    </row>
    <row r="58" spans="1:6" x14ac:dyDescent="0.2">
      <c r="A58" s="313"/>
      <c r="B58" s="321"/>
      <c r="C58" s="322"/>
      <c r="D58" s="322"/>
      <c r="E58" s="322"/>
      <c r="F58" s="322"/>
    </row>
    <row r="59" spans="1:6" ht="15" x14ac:dyDescent="0.25">
      <c r="A59" s="338"/>
      <c r="B59" s="339"/>
      <c r="C59" s="340"/>
      <c r="D59" s="341"/>
      <c r="E59" s="341"/>
      <c r="F59" s="340"/>
    </row>
    <row r="60" spans="1:6" ht="30" x14ac:dyDescent="0.25">
      <c r="A60" s="317" t="s">
        <v>200</v>
      </c>
      <c r="B60" s="318" t="s">
        <v>111</v>
      </c>
      <c r="C60" s="319" t="s">
        <v>116</v>
      </c>
      <c r="D60" s="319" t="s">
        <v>117</v>
      </c>
      <c r="E60" s="319" t="s">
        <v>186</v>
      </c>
      <c r="F60" s="320" t="s">
        <v>187</v>
      </c>
    </row>
    <row r="61" spans="1:6" x14ac:dyDescent="0.2">
      <c r="A61" s="313" t="s">
        <v>16</v>
      </c>
      <c r="B61" s="321"/>
      <c r="C61" s="322"/>
      <c r="D61" s="322"/>
      <c r="E61" s="322"/>
      <c r="F61" s="322"/>
    </row>
    <row r="62" spans="1:6" ht="25.5" x14ac:dyDescent="0.2">
      <c r="A62" s="313" t="s">
        <v>188</v>
      </c>
      <c r="B62" s="323">
        <v>1024196.8441</v>
      </c>
      <c r="C62" s="323">
        <v>887839.07759999996</v>
      </c>
      <c r="D62" s="323">
        <v>396504.32419999992</v>
      </c>
      <c r="E62" s="323">
        <v>16083</v>
      </c>
      <c r="F62" s="323">
        <v>2324623.2458999995</v>
      </c>
    </row>
    <row r="63" spans="1:6" x14ac:dyDescent="0.2">
      <c r="A63" s="313" t="s">
        <v>189</v>
      </c>
      <c r="B63" s="324">
        <v>0</v>
      </c>
      <c r="C63" s="325">
        <v>0</v>
      </c>
      <c r="D63" s="325">
        <v>0</v>
      </c>
      <c r="E63" s="324">
        <v>0</v>
      </c>
      <c r="F63" s="324">
        <v>0</v>
      </c>
    </row>
    <row r="64" spans="1:6" x14ac:dyDescent="0.2">
      <c r="A64" s="313" t="s">
        <v>190</v>
      </c>
      <c r="B64" s="326">
        <v>1024196.8441</v>
      </c>
      <c r="C64" s="326">
        <v>887839.07759999996</v>
      </c>
      <c r="D64" s="326">
        <v>396504.32419999992</v>
      </c>
      <c r="E64" s="326">
        <v>16083</v>
      </c>
      <c r="F64" s="326">
        <v>2324623.2458999995</v>
      </c>
    </row>
    <row r="65" spans="1:6" ht="25.5" x14ac:dyDescent="0.2">
      <c r="A65" s="313" t="s">
        <v>191</v>
      </c>
      <c r="B65" s="323"/>
      <c r="C65" s="323"/>
      <c r="D65" s="323"/>
      <c r="E65" s="323"/>
      <c r="F65" s="323"/>
    </row>
    <row r="66" spans="1:6" ht="25.5" x14ac:dyDescent="0.2">
      <c r="A66" s="327" t="s">
        <v>192</v>
      </c>
      <c r="B66" s="324">
        <v>0</v>
      </c>
      <c r="C66" s="325">
        <v>0</v>
      </c>
      <c r="D66" s="325">
        <v>200.15</v>
      </c>
      <c r="E66" s="325">
        <v>0</v>
      </c>
      <c r="F66" s="328">
        <v>200.15</v>
      </c>
    </row>
    <row r="67" spans="1:6" ht="25.5" x14ac:dyDescent="0.2">
      <c r="A67" s="327" t="s">
        <v>193</v>
      </c>
      <c r="B67" s="324">
        <v>0</v>
      </c>
      <c r="C67" s="325">
        <v>0</v>
      </c>
      <c r="D67" s="325">
        <v>0</v>
      </c>
      <c r="E67" s="325">
        <v>15061</v>
      </c>
      <c r="F67" s="324">
        <v>15061</v>
      </c>
    </row>
    <row r="68" spans="1:6" x14ac:dyDescent="0.2">
      <c r="A68" s="327" t="s">
        <v>194</v>
      </c>
      <c r="B68" s="324">
        <v>17437</v>
      </c>
      <c r="C68" s="325">
        <v>149212</v>
      </c>
      <c r="D68" s="329">
        <v>75491</v>
      </c>
      <c r="E68" s="325">
        <v>1022</v>
      </c>
      <c r="F68" s="324">
        <v>243162</v>
      </c>
    </row>
    <row r="69" spans="1:6" x14ac:dyDescent="0.2">
      <c r="A69" s="313" t="s">
        <v>195</v>
      </c>
      <c r="B69" s="330">
        <v>1006759.8441</v>
      </c>
      <c r="C69" s="330">
        <v>738627.07759999996</v>
      </c>
      <c r="D69" s="330">
        <v>320813.17419999995</v>
      </c>
      <c r="E69" s="330">
        <v>0</v>
      </c>
      <c r="F69" s="330">
        <v>2066200.0958999998</v>
      </c>
    </row>
    <row r="70" spans="1:6" x14ac:dyDescent="0.2">
      <c r="A70" s="313" t="s">
        <v>196</v>
      </c>
      <c r="B70" s="324">
        <v>80604.090700000001</v>
      </c>
      <c r="C70" s="324">
        <v>8191.8820400000004</v>
      </c>
      <c r="D70" s="324">
        <v>9204.5295900000001</v>
      </c>
      <c r="E70" s="323"/>
      <c r="F70" s="323"/>
    </row>
    <row r="71" spans="1:6" x14ac:dyDescent="0.2">
      <c r="A71" s="313" t="s">
        <v>197</v>
      </c>
      <c r="B71" s="331">
        <v>12.490183008788659</v>
      </c>
      <c r="C71" s="331">
        <v>90.165736517368103</v>
      </c>
      <c r="D71" s="331">
        <v>34.85383702264788</v>
      </c>
      <c r="E71" s="323"/>
      <c r="F71" s="323"/>
    </row>
  </sheetData>
  <mergeCells count="6">
    <mergeCell ref="A9:F9"/>
    <mergeCell ref="A1:I1"/>
    <mergeCell ref="A2:I2"/>
    <mergeCell ref="A3:I3"/>
    <mergeCell ref="A5:F5"/>
    <mergeCell ref="A6:F6"/>
  </mergeCells>
  <pageMargins left="0.7" right="0.7" top="0.75" bottom="0.75" header="0.3" footer="0.3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14"/>
  <sheetViews>
    <sheetView workbookViewId="0">
      <selection activeCell="A10" sqref="A10"/>
    </sheetView>
  </sheetViews>
  <sheetFormatPr defaultRowHeight="12.75" x14ac:dyDescent="0.2"/>
  <cols>
    <col min="1" max="1" width="59.6640625" style="237" bestFit="1" customWidth="1"/>
    <col min="2" max="6" width="20.83203125" style="237" customWidth="1"/>
    <col min="7" max="7" width="9.33203125" style="237"/>
    <col min="8" max="8" width="14.33203125" style="237" customWidth="1"/>
    <col min="9" max="16384" width="9.33203125" style="237"/>
  </cols>
  <sheetData>
    <row r="1" spans="1:9" ht="15.75" x14ac:dyDescent="0.25">
      <c r="A1" s="371" t="s">
        <v>0</v>
      </c>
      <c r="B1" s="371"/>
      <c r="C1" s="372"/>
      <c r="D1" s="372"/>
      <c r="E1" s="372"/>
      <c r="F1" s="372"/>
      <c r="G1" s="372"/>
      <c r="H1" s="373"/>
      <c r="I1" s="373"/>
    </row>
    <row r="2" spans="1:9" ht="15.75" x14ac:dyDescent="0.25">
      <c r="A2" s="371" t="s">
        <v>184</v>
      </c>
      <c r="B2" s="371"/>
      <c r="C2" s="372"/>
      <c r="D2" s="372"/>
      <c r="E2" s="372"/>
      <c r="F2" s="372"/>
      <c r="G2" s="372"/>
      <c r="H2" s="374"/>
      <c r="I2" s="372"/>
    </row>
    <row r="3" spans="1:9" ht="15.75" x14ac:dyDescent="0.25">
      <c r="A3" s="371" t="s">
        <v>110</v>
      </c>
      <c r="B3" s="371"/>
      <c r="C3" s="372"/>
      <c r="D3" s="372"/>
      <c r="E3" s="372"/>
      <c r="F3" s="372"/>
      <c r="G3" s="372"/>
      <c r="H3" s="374"/>
      <c r="I3" s="372"/>
    </row>
    <row r="4" spans="1:9" x14ac:dyDescent="0.2">
      <c r="A4" s="314"/>
      <c r="B4" s="314"/>
      <c r="C4" s="314"/>
      <c r="D4" s="314"/>
      <c r="E4" s="314"/>
      <c r="F4" s="314"/>
      <c r="G4" s="314"/>
      <c r="H4" s="314"/>
      <c r="I4" s="314"/>
    </row>
    <row r="5" spans="1:9" x14ac:dyDescent="0.2">
      <c r="A5" s="344" t="s">
        <v>226</v>
      </c>
      <c r="B5" s="342"/>
      <c r="C5" s="342"/>
      <c r="D5" s="342"/>
      <c r="E5" s="342"/>
      <c r="F5" s="342"/>
    </row>
    <row r="6" spans="1:9" x14ac:dyDescent="0.2">
      <c r="A6" s="376"/>
      <c r="B6" s="376"/>
      <c r="C6" s="376"/>
      <c r="D6" s="376"/>
      <c r="E6" s="376"/>
      <c r="F6" s="376"/>
    </row>
    <row r="7" spans="1:9" x14ac:dyDescent="0.2">
      <c r="A7" s="345" t="s">
        <v>227</v>
      </c>
      <c r="B7" s="345"/>
      <c r="C7" s="345"/>
      <c r="D7" s="345"/>
      <c r="E7" s="345"/>
      <c r="F7" s="345"/>
    </row>
    <row r="8" spans="1:9" x14ac:dyDescent="0.2">
      <c r="A8" s="345" t="s">
        <v>228</v>
      </c>
      <c r="B8" s="343"/>
      <c r="C8" s="343"/>
      <c r="D8" s="343"/>
      <c r="E8" s="343"/>
      <c r="F8" s="343"/>
    </row>
    <row r="9" spans="1:9" ht="12.75" customHeight="1" x14ac:dyDescent="0.2">
      <c r="A9" s="346" t="s">
        <v>229</v>
      </c>
      <c r="B9" s="347"/>
      <c r="C9" s="347"/>
      <c r="D9" s="347"/>
      <c r="E9" s="347"/>
      <c r="F9" s="347"/>
    </row>
    <row r="10" spans="1:9" x14ac:dyDescent="0.2">
      <c r="A10" s="346" t="s">
        <v>230</v>
      </c>
      <c r="B10" s="347"/>
      <c r="C10" s="347"/>
      <c r="D10" s="347"/>
      <c r="E10" s="347"/>
      <c r="F10" s="347"/>
    </row>
    <row r="11" spans="1:9" x14ac:dyDescent="0.2">
      <c r="A11" s="346" t="s">
        <v>231</v>
      </c>
      <c r="B11" s="347"/>
      <c r="C11" s="347"/>
      <c r="D11" s="347"/>
      <c r="E11" s="347"/>
      <c r="F11" s="347"/>
    </row>
    <row r="12" spans="1:9" x14ac:dyDescent="0.2">
      <c r="A12" s="348" t="s">
        <v>232</v>
      </c>
      <c r="B12" s="347"/>
      <c r="C12" s="347"/>
      <c r="D12" s="347"/>
      <c r="E12" s="347"/>
      <c r="F12" s="347"/>
    </row>
    <row r="15" spans="1:9" ht="30" x14ac:dyDescent="0.25">
      <c r="A15" s="317" t="s">
        <v>185</v>
      </c>
      <c r="B15" s="318" t="s">
        <v>111</v>
      </c>
      <c r="C15" s="319" t="s">
        <v>116</v>
      </c>
      <c r="D15" s="319" t="s">
        <v>117</v>
      </c>
      <c r="E15" s="319" t="s">
        <v>186</v>
      </c>
      <c r="F15" s="320" t="s">
        <v>187</v>
      </c>
    </row>
    <row r="16" spans="1:9" x14ac:dyDescent="0.2">
      <c r="A16" s="315" t="s">
        <v>16</v>
      </c>
      <c r="B16" s="321"/>
      <c r="C16" s="322"/>
      <c r="D16" s="322"/>
      <c r="E16" s="322"/>
      <c r="F16" s="322"/>
    </row>
    <row r="17" spans="1:6" ht="25.5" x14ac:dyDescent="0.2">
      <c r="A17" s="315" t="s">
        <v>202</v>
      </c>
      <c r="B17" s="323">
        <v>214005.62010000003</v>
      </c>
      <c r="C17" s="323">
        <v>139058.70060000001</v>
      </c>
      <c r="D17" s="323">
        <v>85038.156300000002</v>
      </c>
      <c r="E17" s="323">
        <v>13118.570249999975</v>
      </c>
      <c r="F17" s="323">
        <v>451221.04725000006</v>
      </c>
    </row>
    <row r="18" spans="1:6" ht="25.5" x14ac:dyDescent="0.2">
      <c r="A18" s="315" t="s">
        <v>203</v>
      </c>
      <c r="B18" s="323"/>
      <c r="C18" s="323"/>
      <c r="D18" s="323"/>
      <c r="E18" s="323"/>
      <c r="F18" s="323"/>
    </row>
    <row r="19" spans="1:6" ht="25.5" x14ac:dyDescent="0.2">
      <c r="A19" s="327" t="s">
        <v>204</v>
      </c>
      <c r="B19" s="324">
        <v>-229</v>
      </c>
      <c r="C19" s="325">
        <v>0</v>
      </c>
      <c r="D19" s="325">
        <v>0</v>
      </c>
      <c r="E19" s="325">
        <v>0</v>
      </c>
      <c r="F19" s="324">
        <v>-229</v>
      </c>
    </row>
    <row r="20" spans="1:6" x14ac:dyDescent="0.2">
      <c r="A20" s="327" t="s">
        <v>194</v>
      </c>
      <c r="B20" s="324">
        <v>4306</v>
      </c>
      <c r="C20" s="325">
        <v>31545</v>
      </c>
      <c r="D20" s="325">
        <v>28771</v>
      </c>
      <c r="E20" s="325">
        <v>1</v>
      </c>
      <c r="F20" s="324">
        <v>64623</v>
      </c>
    </row>
    <row r="21" spans="1:6" ht="25.5" x14ac:dyDescent="0.2">
      <c r="A21" s="327" t="s">
        <v>205</v>
      </c>
      <c r="B21" s="324">
        <v>0</v>
      </c>
      <c r="C21" s="325">
        <v>0</v>
      </c>
      <c r="D21" s="325">
        <v>0</v>
      </c>
      <c r="E21" s="325">
        <v>11405.216190000003</v>
      </c>
      <c r="F21" s="324">
        <v>11405.216190000003</v>
      </c>
    </row>
    <row r="22" spans="1:6" x14ac:dyDescent="0.2">
      <c r="A22" s="327" t="s">
        <v>206</v>
      </c>
      <c r="B22" s="324">
        <v>0</v>
      </c>
      <c r="C22" s="324">
        <v>0</v>
      </c>
      <c r="D22" s="324">
        <v>0</v>
      </c>
      <c r="E22" s="324">
        <v>0</v>
      </c>
      <c r="F22" s="324">
        <v>0</v>
      </c>
    </row>
    <row r="23" spans="1:6" x14ac:dyDescent="0.2">
      <c r="A23" s="327" t="s">
        <v>207</v>
      </c>
      <c r="B23" s="324">
        <v>0</v>
      </c>
      <c r="C23" s="325">
        <v>0</v>
      </c>
      <c r="D23" s="325">
        <v>0</v>
      </c>
      <c r="E23" s="324">
        <v>1712.3540599999724</v>
      </c>
      <c r="F23" s="324">
        <v>1712.3540599999724</v>
      </c>
    </row>
    <row r="24" spans="1:6" ht="13.5" thickBot="1" x14ac:dyDescent="0.25">
      <c r="A24" s="315" t="s">
        <v>208</v>
      </c>
      <c r="B24" s="356">
        <v>209928.62010000003</v>
      </c>
      <c r="C24" s="356">
        <v>107513.70060000001</v>
      </c>
      <c r="D24" s="356">
        <v>56267.156299999995</v>
      </c>
      <c r="E24" s="356">
        <v>0</v>
      </c>
      <c r="F24" s="356">
        <v>373709.47700000001</v>
      </c>
    </row>
    <row r="25" spans="1:6" ht="13.5" thickTop="1" x14ac:dyDescent="0.2">
      <c r="A25" s="315" t="s">
        <v>196</v>
      </c>
      <c r="B25" s="324">
        <v>19473.362850000001</v>
      </c>
      <c r="C25" s="324">
        <v>1807.0938200000001</v>
      </c>
      <c r="D25" s="324">
        <v>2261.9490000000001</v>
      </c>
      <c r="E25" s="323"/>
      <c r="F25" s="323"/>
    </row>
    <row r="26" spans="1:6" x14ac:dyDescent="0.2">
      <c r="A26" s="315" t="s">
        <v>212</v>
      </c>
      <c r="B26" s="331">
        <v>10.780296229112786</v>
      </c>
      <c r="C26" s="331">
        <v>59.495361784813149</v>
      </c>
      <c r="D26" s="331">
        <v>24.875519430367348</v>
      </c>
      <c r="E26" s="323"/>
      <c r="F26" s="323"/>
    </row>
    <row r="27" spans="1:6" x14ac:dyDescent="0.2">
      <c r="A27" s="315"/>
      <c r="B27" s="323"/>
      <c r="C27" s="323"/>
      <c r="D27" s="323"/>
      <c r="E27" s="323"/>
      <c r="F27" s="323"/>
    </row>
    <row r="28" spans="1:6" ht="15" x14ac:dyDescent="0.25">
      <c r="A28" s="338"/>
      <c r="B28" s="339"/>
      <c r="C28" s="340"/>
      <c r="D28" s="339"/>
      <c r="E28" s="341"/>
      <c r="F28" s="340"/>
    </row>
    <row r="29" spans="1:6" ht="30" x14ac:dyDescent="0.25">
      <c r="A29" s="317" t="s">
        <v>198</v>
      </c>
      <c r="B29" s="318" t="s">
        <v>111</v>
      </c>
      <c r="C29" s="319" t="s">
        <v>116</v>
      </c>
      <c r="D29" s="319" t="s">
        <v>117</v>
      </c>
      <c r="E29" s="319" t="s">
        <v>186</v>
      </c>
      <c r="F29" s="320" t="s">
        <v>187</v>
      </c>
    </row>
    <row r="30" spans="1:6" x14ac:dyDescent="0.2">
      <c r="A30" s="315" t="s">
        <v>16</v>
      </c>
      <c r="B30" s="321"/>
      <c r="C30" s="322"/>
      <c r="D30" s="322"/>
      <c r="E30" s="322"/>
      <c r="F30" s="322"/>
    </row>
    <row r="31" spans="1:6" ht="25.5" x14ac:dyDescent="0.2">
      <c r="A31" s="315" t="s">
        <v>202</v>
      </c>
      <c r="B31" s="323">
        <v>226448.74669999999</v>
      </c>
      <c r="C31" s="323">
        <v>185321.13159999999</v>
      </c>
      <c r="D31" s="323">
        <v>72831.5579</v>
      </c>
      <c r="E31" s="323">
        <v>10822.551029999993</v>
      </c>
      <c r="F31" s="323">
        <v>495423.98722999997</v>
      </c>
    </row>
    <row r="32" spans="1:6" ht="25.5" x14ac:dyDescent="0.2">
      <c r="A32" s="315" t="s">
        <v>203</v>
      </c>
      <c r="B32" s="323"/>
      <c r="C32" s="323"/>
      <c r="D32" s="323"/>
      <c r="E32" s="323"/>
      <c r="F32" s="323"/>
    </row>
    <row r="33" spans="1:6" ht="25.5" x14ac:dyDescent="0.2">
      <c r="A33" s="327" t="s">
        <v>204</v>
      </c>
      <c r="B33" s="324">
        <v>-921</v>
      </c>
      <c r="C33" s="325">
        <v>0</v>
      </c>
      <c r="D33" s="325">
        <v>0</v>
      </c>
      <c r="E33" s="325">
        <v>0</v>
      </c>
      <c r="F33" s="324">
        <v>-921</v>
      </c>
    </row>
    <row r="34" spans="1:6" x14ac:dyDescent="0.2">
      <c r="A34" s="327" t="s">
        <v>194</v>
      </c>
      <c r="B34" s="324">
        <v>4291</v>
      </c>
      <c r="C34" s="325">
        <v>42170</v>
      </c>
      <c r="D34" s="325">
        <v>12239</v>
      </c>
      <c r="E34" s="325">
        <v>1014.4</v>
      </c>
      <c r="F34" s="324">
        <v>59714.400000000001</v>
      </c>
    </row>
    <row r="35" spans="1:6" ht="25.5" x14ac:dyDescent="0.2">
      <c r="A35" s="327" t="s">
        <v>205</v>
      </c>
      <c r="B35" s="324">
        <v>0</v>
      </c>
      <c r="C35" s="325">
        <v>0</v>
      </c>
      <c r="D35" s="325">
        <v>0</v>
      </c>
      <c r="E35" s="325">
        <v>7979.1592899999996</v>
      </c>
      <c r="F35" s="324">
        <v>7979.1592899999996</v>
      </c>
    </row>
    <row r="36" spans="1:6" x14ac:dyDescent="0.2">
      <c r="A36" s="327" t="s">
        <v>206</v>
      </c>
      <c r="B36" s="324">
        <v>0</v>
      </c>
      <c r="C36" s="324">
        <v>0</v>
      </c>
      <c r="D36" s="324">
        <v>0</v>
      </c>
      <c r="E36" s="324">
        <v>0</v>
      </c>
      <c r="F36" s="324">
        <v>0</v>
      </c>
    </row>
    <row r="37" spans="1:6" x14ac:dyDescent="0.2">
      <c r="A37" s="327" t="s">
        <v>207</v>
      </c>
      <c r="B37" s="324">
        <v>0</v>
      </c>
      <c r="C37" s="325">
        <v>0</v>
      </c>
      <c r="D37" s="325">
        <v>0</v>
      </c>
      <c r="E37" s="324">
        <v>1828.991739999994</v>
      </c>
      <c r="F37" s="324">
        <v>1828.991739999994</v>
      </c>
    </row>
    <row r="38" spans="1:6" ht="13.5" thickBot="1" x14ac:dyDescent="0.25">
      <c r="A38" s="315" t="s">
        <v>208</v>
      </c>
      <c r="B38" s="356">
        <v>223078.74669999999</v>
      </c>
      <c r="C38" s="356">
        <v>143151.13159999999</v>
      </c>
      <c r="D38" s="356">
        <v>60592.5579</v>
      </c>
      <c r="E38" s="356">
        <v>0</v>
      </c>
      <c r="F38" s="356">
        <v>426822.4362</v>
      </c>
    </row>
    <row r="39" spans="1:6" ht="13.5" thickTop="1" x14ac:dyDescent="0.2">
      <c r="A39" s="315" t="s">
        <v>196</v>
      </c>
      <c r="B39" s="324">
        <v>21712.965970000001</v>
      </c>
      <c r="C39" s="324">
        <v>2220.8654900000001</v>
      </c>
      <c r="D39" s="324">
        <v>2325.9114399999999</v>
      </c>
      <c r="E39" s="323"/>
      <c r="F39" s="323"/>
    </row>
    <row r="40" spans="1:6" x14ac:dyDescent="0.2">
      <c r="A40" s="315" t="s">
        <v>212</v>
      </c>
      <c r="B40" s="331">
        <v>10.273987764187519</v>
      </c>
      <c r="C40" s="331">
        <v>64.457362341201488</v>
      </c>
      <c r="D40" s="331">
        <v>26.051102745339264</v>
      </c>
      <c r="E40" s="323"/>
      <c r="F40" s="323"/>
    </row>
    <row r="41" spans="1:6" x14ac:dyDescent="0.2">
      <c r="A41" s="315"/>
      <c r="B41" s="321"/>
      <c r="C41" s="322"/>
      <c r="D41" s="322"/>
      <c r="E41" s="322"/>
      <c r="F41" s="322"/>
    </row>
    <row r="42" spans="1:6" ht="15" x14ac:dyDescent="0.25">
      <c r="A42" s="338"/>
      <c r="B42" s="339"/>
      <c r="C42" s="340"/>
      <c r="D42" s="341"/>
      <c r="E42" s="341"/>
      <c r="F42" s="340"/>
    </row>
    <row r="43" spans="1:6" ht="30" x14ac:dyDescent="0.25">
      <c r="A43" s="317" t="s">
        <v>199</v>
      </c>
      <c r="B43" s="318" t="s">
        <v>111</v>
      </c>
      <c r="C43" s="319" t="s">
        <v>116</v>
      </c>
      <c r="D43" s="319" t="s">
        <v>117</v>
      </c>
      <c r="E43" s="319" t="s">
        <v>186</v>
      </c>
      <c r="F43" s="320" t="s">
        <v>187</v>
      </c>
    </row>
    <row r="44" spans="1:6" x14ac:dyDescent="0.2">
      <c r="A44" s="315" t="s">
        <v>16</v>
      </c>
      <c r="B44" s="321"/>
      <c r="C44" s="322"/>
      <c r="D44" s="322"/>
      <c r="E44" s="322"/>
      <c r="F44" s="322"/>
    </row>
    <row r="45" spans="1:6" x14ac:dyDescent="0.2">
      <c r="A45" s="315" t="s">
        <v>209</v>
      </c>
      <c r="B45" s="323">
        <v>220714.2611</v>
      </c>
      <c r="C45" s="323">
        <v>169532.49780000001</v>
      </c>
      <c r="D45" s="323">
        <v>66810.616500000004</v>
      </c>
      <c r="E45" s="323">
        <v>13585.904649999975</v>
      </c>
      <c r="F45" s="323">
        <v>470643.64004999999</v>
      </c>
    </row>
    <row r="46" spans="1:6" ht="25.5" x14ac:dyDescent="0.2">
      <c r="A46" s="315" t="s">
        <v>210</v>
      </c>
      <c r="B46" s="323"/>
      <c r="C46" s="323"/>
      <c r="D46" s="323"/>
      <c r="E46" s="323"/>
      <c r="F46" s="323"/>
    </row>
    <row r="47" spans="1:6" ht="25.5" x14ac:dyDescent="0.2">
      <c r="A47" s="315" t="s">
        <v>204</v>
      </c>
      <c r="B47" s="324">
        <v>363</v>
      </c>
      <c r="C47" s="325">
        <v>0</v>
      </c>
      <c r="D47" s="325">
        <v>0</v>
      </c>
      <c r="E47" s="325">
        <v>0</v>
      </c>
      <c r="F47" s="324">
        <v>363</v>
      </c>
    </row>
    <row r="48" spans="1:6" x14ac:dyDescent="0.2">
      <c r="A48" s="315" t="s">
        <v>194</v>
      </c>
      <c r="B48" s="324">
        <v>4825</v>
      </c>
      <c r="C48" s="325">
        <v>40171</v>
      </c>
      <c r="D48" s="325">
        <v>12130</v>
      </c>
      <c r="E48" s="325">
        <v>44.5</v>
      </c>
      <c r="F48" s="324">
        <v>57170.5</v>
      </c>
    </row>
    <row r="49" spans="1:6" ht="25.5" x14ac:dyDescent="0.2">
      <c r="A49" s="315" t="s">
        <v>205</v>
      </c>
      <c r="B49" s="324">
        <v>0</v>
      </c>
      <c r="C49" s="325">
        <v>0</v>
      </c>
      <c r="D49" s="325">
        <v>0</v>
      </c>
      <c r="E49" s="325">
        <v>5852.5994900000005</v>
      </c>
      <c r="F49" s="324">
        <v>5852.5994900000005</v>
      </c>
    </row>
    <row r="50" spans="1:6" x14ac:dyDescent="0.2">
      <c r="A50" s="315" t="s">
        <v>206</v>
      </c>
      <c r="B50" s="324">
        <v>0</v>
      </c>
      <c r="C50" s="324">
        <v>0</v>
      </c>
      <c r="D50" s="324">
        <v>0</v>
      </c>
      <c r="E50" s="324">
        <v>7345</v>
      </c>
      <c r="F50" s="324">
        <v>7345</v>
      </c>
    </row>
    <row r="51" spans="1:6" x14ac:dyDescent="0.2">
      <c r="A51" s="315" t="s">
        <v>207</v>
      </c>
      <c r="B51" s="324">
        <v>0</v>
      </c>
      <c r="C51" s="325">
        <v>0</v>
      </c>
      <c r="D51" s="325">
        <v>0</v>
      </c>
      <c r="E51" s="325">
        <v>343.80515999997442</v>
      </c>
      <c r="F51" s="324">
        <v>343.80515999997442</v>
      </c>
    </row>
    <row r="52" spans="1:6" ht="13.5" thickBot="1" x14ac:dyDescent="0.25">
      <c r="A52" s="315" t="s">
        <v>211</v>
      </c>
      <c r="B52" s="356">
        <v>215526.2611</v>
      </c>
      <c r="C52" s="356">
        <v>129361.49780000001</v>
      </c>
      <c r="D52" s="356">
        <v>54680.616499999996</v>
      </c>
      <c r="E52" s="356">
        <v>0</v>
      </c>
      <c r="F52" s="356">
        <v>399568.37540000002</v>
      </c>
    </row>
    <row r="53" spans="1:6" ht="13.5" thickTop="1" x14ac:dyDescent="0.2">
      <c r="A53" s="315" t="s">
        <v>196</v>
      </c>
      <c r="B53" s="324">
        <v>21823.80615</v>
      </c>
      <c r="C53" s="324">
        <v>2441.8602000000001</v>
      </c>
      <c r="D53" s="324">
        <v>2509.67956</v>
      </c>
      <c r="E53" s="322"/>
      <c r="F53" s="322"/>
    </row>
    <row r="54" spans="1:6" x14ac:dyDescent="0.2">
      <c r="A54" s="315" t="s">
        <v>212</v>
      </c>
      <c r="B54" s="331">
        <v>9.8757411800049368</v>
      </c>
      <c r="C54" s="331">
        <v>52.976619136509129</v>
      </c>
      <c r="D54" s="331">
        <v>21.787887733364652</v>
      </c>
      <c r="E54" s="322"/>
      <c r="F54" s="322"/>
    </row>
    <row r="55" spans="1:6" x14ac:dyDescent="0.2">
      <c r="A55" s="315"/>
      <c r="B55" s="321"/>
      <c r="C55" s="322"/>
      <c r="D55" s="322"/>
      <c r="E55" s="322"/>
      <c r="F55" s="322"/>
    </row>
    <row r="56" spans="1:6" ht="15" x14ac:dyDescent="0.25">
      <c r="A56" s="338"/>
      <c r="B56" s="339"/>
      <c r="C56" s="340"/>
      <c r="D56" s="341"/>
      <c r="E56" s="341"/>
      <c r="F56" s="340"/>
    </row>
    <row r="57" spans="1:6" ht="30" x14ac:dyDescent="0.25">
      <c r="A57" s="317" t="s">
        <v>200</v>
      </c>
      <c r="B57" s="318" t="s">
        <v>111</v>
      </c>
      <c r="C57" s="319" t="s">
        <v>116</v>
      </c>
      <c r="D57" s="319" t="s">
        <v>117</v>
      </c>
      <c r="E57" s="319" t="s">
        <v>186</v>
      </c>
      <c r="F57" s="320" t="s">
        <v>187</v>
      </c>
    </row>
    <row r="58" spans="1:6" x14ac:dyDescent="0.2">
      <c r="A58" s="315" t="s">
        <v>16</v>
      </c>
      <c r="B58" s="321"/>
      <c r="C58" s="322"/>
      <c r="D58" s="322"/>
      <c r="E58" s="322"/>
      <c r="F58" s="322"/>
    </row>
    <row r="59" spans="1:6" x14ac:dyDescent="0.2">
      <c r="A59" s="315" t="s">
        <v>209</v>
      </c>
      <c r="B59" s="323">
        <v>863835.50390000001</v>
      </c>
      <c r="C59" s="323">
        <v>646910.68090000004</v>
      </c>
      <c r="D59" s="323">
        <v>298228.52049999998</v>
      </c>
      <c r="E59" s="323">
        <v>34117.969580000004</v>
      </c>
      <c r="F59" s="323">
        <v>1843092.6748800001</v>
      </c>
    </row>
    <row r="60" spans="1:6" ht="25.5" x14ac:dyDescent="0.2">
      <c r="A60" s="315" t="s">
        <v>210</v>
      </c>
      <c r="B60" s="323"/>
      <c r="C60" s="323"/>
      <c r="D60" s="323"/>
      <c r="E60" s="323"/>
      <c r="F60" s="323"/>
    </row>
    <row r="61" spans="1:6" ht="25.5" x14ac:dyDescent="0.2">
      <c r="A61" s="315" t="s">
        <v>204</v>
      </c>
      <c r="B61" s="325">
        <v>-2645</v>
      </c>
      <c r="C61" s="325">
        <v>0</v>
      </c>
      <c r="D61" s="325">
        <v>0</v>
      </c>
      <c r="E61" s="325">
        <v>0</v>
      </c>
      <c r="F61" s="324">
        <v>-2645</v>
      </c>
    </row>
    <row r="62" spans="1:6" x14ac:dyDescent="0.2">
      <c r="A62" s="315" t="s">
        <v>194</v>
      </c>
      <c r="B62" s="324">
        <v>17437</v>
      </c>
      <c r="C62" s="325">
        <v>149212</v>
      </c>
      <c r="D62" s="325">
        <v>75491</v>
      </c>
      <c r="E62" s="325">
        <v>1022</v>
      </c>
      <c r="F62" s="324">
        <v>243162</v>
      </c>
    </row>
    <row r="63" spans="1:6" ht="25.5" x14ac:dyDescent="0.2">
      <c r="A63" s="315" t="s">
        <v>205</v>
      </c>
      <c r="B63" s="324">
        <v>0</v>
      </c>
      <c r="C63" s="325">
        <v>0</v>
      </c>
      <c r="D63" s="325">
        <v>0</v>
      </c>
      <c r="E63" s="325">
        <v>28065.137900000002</v>
      </c>
      <c r="F63" s="324">
        <v>28065.137900000002</v>
      </c>
    </row>
    <row r="64" spans="1:6" x14ac:dyDescent="0.2">
      <c r="A64" s="315" t="s">
        <v>206</v>
      </c>
      <c r="B64" s="324">
        <v>0</v>
      </c>
      <c r="C64" s="324">
        <v>0</v>
      </c>
      <c r="D64" s="324">
        <v>0</v>
      </c>
      <c r="E64" s="324">
        <v>0</v>
      </c>
      <c r="F64" s="324">
        <v>0</v>
      </c>
    </row>
    <row r="65" spans="1:6" x14ac:dyDescent="0.2">
      <c r="A65" s="315" t="s">
        <v>207</v>
      </c>
      <c r="B65" s="324">
        <v>0</v>
      </c>
      <c r="C65" s="325">
        <v>0</v>
      </c>
      <c r="D65" s="325">
        <v>0</v>
      </c>
      <c r="E65" s="324">
        <v>5030.831680000003</v>
      </c>
      <c r="F65" s="324">
        <v>5030.831680000003</v>
      </c>
    </row>
    <row r="66" spans="1:6" ht="13.5" thickBot="1" x14ac:dyDescent="0.25">
      <c r="A66" s="315" t="s">
        <v>211</v>
      </c>
      <c r="B66" s="356">
        <v>849043.50390000001</v>
      </c>
      <c r="C66" s="356">
        <v>497698.68090000004</v>
      </c>
      <c r="D66" s="356">
        <v>222737.52050000001</v>
      </c>
      <c r="E66" s="356">
        <v>0</v>
      </c>
      <c r="F66" s="356">
        <v>1569479.7053</v>
      </c>
    </row>
    <row r="67" spans="1:6" ht="13.5" thickTop="1" x14ac:dyDescent="0.2">
      <c r="A67" s="315" t="s">
        <v>196</v>
      </c>
      <c r="B67" s="324">
        <v>80604.090700000001</v>
      </c>
      <c r="C67" s="324">
        <v>8191.8820400000004</v>
      </c>
      <c r="D67" s="324">
        <v>9204.5295900000001</v>
      </c>
      <c r="E67" s="322"/>
      <c r="F67" s="322"/>
    </row>
    <row r="68" spans="1:6" x14ac:dyDescent="0.2">
      <c r="A68" s="315" t="s">
        <v>212</v>
      </c>
      <c r="B68" s="331">
        <v>10.533503901930377</v>
      </c>
      <c r="C68" s="331">
        <v>60.755108346262276</v>
      </c>
      <c r="D68" s="331">
        <v>24.198685910248674</v>
      </c>
      <c r="E68" s="322"/>
      <c r="F68" s="322"/>
    </row>
    <row r="69" spans="1:6" x14ac:dyDescent="0.2">
      <c r="A69" s="332"/>
      <c r="B69" s="332"/>
      <c r="C69" s="332"/>
      <c r="D69" s="332"/>
      <c r="E69" s="332"/>
      <c r="F69" s="332"/>
    </row>
    <row r="70" spans="1:6" x14ac:dyDescent="0.2">
      <c r="A70" s="332"/>
      <c r="B70" s="332"/>
      <c r="C70" s="332"/>
      <c r="D70" s="332"/>
      <c r="E70" s="332"/>
      <c r="F70" s="332"/>
    </row>
    <row r="71" spans="1:6" x14ac:dyDescent="0.2">
      <c r="A71" s="332"/>
      <c r="B71" s="332"/>
      <c r="C71" s="332"/>
      <c r="D71" s="332"/>
      <c r="E71" s="332"/>
      <c r="F71" s="332"/>
    </row>
    <row r="72" spans="1:6" x14ac:dyDescent="0.2">
      <c r="A72" s="332"/>
      <c r="B72" s="332"/>
      <c r="C72" s="332"/>
      <c r="D72" s="332"/>
      <c r="E72" s="332"/>
      <c r="F72" s="332"/>
    </row>
    <row r="73" spans="1:6" x14ac:dyDescent="0.2">
      <c r="A73" s="332"/>
      <c r="B73" s="332"/>
      <c r="C73" s="332"/>
      <c r="D73" s="332"/>
      <c r="E73" s="332"/>
      <c r="F73" s="332"/>
    </row>
    <row r="74" spans="1:6" x14ac:dyDescent="0.2">
      <c r="A74" s="332"/>
      <c r="B74" s="332"/>
      <c r="C74" s="332"/>
      <c r="D74" s="332"/>
      <c r="E74" s="332"/>
      <c r="F74" s="332"/>
    </row>
    <row r="75" spans="1:6" x14ac:dyDescent="0.2">
      <c r="A75" s="332"/>
      <c r="B75" s="332"/>
      <c r="C75" s="332"/>
      <c r="D75" s="332"/>
      <c r="E75" s="332"/>
      <c r="F75" s="332"/>
    </row>
    <row r="76" spans="1:6" x14ac:dyDescent="0.2">
      <c r="A76" s="332"/>
      <c r="B76" s="332"/>
      <c r="C76" s="332"/>
      <c r="D76" s="332"/>
      <c r="E76" s="332"/>
      <c r="F76" s="332"/>
    </row>
    <row r="77" spans="1:6" x14ac:dyDescent="0.2">
      <c r="A77" s="332"/>
      <c r="B77" s="332"/>
      <c r="C77" s="332"/>
      <c r="D77" s="332"/>
      <c r="E77" s="332"/>
      <c r="F77" s="332"/>
    </row>
    <row r="78" spans="1:6" x14ac:dyDescent="0.2">
      <c r="A78" s="332"/>
      <c r="B78" s="332"/>
      <c r="C78" s="332"/>
      <c r="D78" s="332"/>
      <c r="E78" s="332"/>
      <c r="F78" s="332"/>
    </row>
    <row r="79" spans="1:6" x14ac:dyDescent="0.2">
      <c r="A79" s="332"/>
      <c r="B79" s="332"/>
      <c r="C79" s="332"/>
      <c r="D79" s="332"/>
      <c r="E79" s="332"/>
      <c r="F79" s="332"/>
    </row>
    <row r="80" spans="1:6" x14ac:dyDescent="0.2">
      <c r="A80" s="332"/>
      <c r="B80" s="332"/>
      <c r="C80" s="332"/>
      <c r="D80" s="332"/>
      <c r="E80" s="332"/>
      <c r="F80" s="332"/>
    </row>
    <row r="81" spans="1:6" x14ac:dyDescent="0.2">
      <c r="A81" s="332"/>
      <c r="B81" s="332"/>
      <c r="C81" s="332"/>
      <c r="D81" s="332"/>
      <c r="E81" s="332"/>
      <c r="F81" s="332"/>
    </row>
    <row r="82" spans="1:6" x14ac:dyDescent="0.2">
      <c r="A82" s="332"/>
      <c r="B82" s="332"/>
      <c r="C82" s="332"/>
      <c r="D82" s="332"/>
      <c r="E82" s="332"/>
      <c r="F82" s="332"/>
    </row>
    <row r="83" spans="1:6" x14ac:dyDescent="0.2">
      <c r="A83" s="332"/>
      <c r="B83" s="332"/>
      <c r="C83" s="332"/>
      <c r="D83" s="332"/>
      <c r="E83" s="332"/>
      <c r="F83" s="332"/>
    </row>
    <row r="84" spans="1:6" x14ac:dyDescent="0.2">
      <c r="A84" s="332"/>
      <c r="B84" s="332"/>
      <c r="C84" s="332"/>
      <c r="D84" s="332"/>
      <c r="E84" s="332"/>
      <c r="F84" s="332"/>
    </row>
    <row r="85" spans="1:6" x14ac:dyDescent="0.2">
      <c r="A85" s="332"/>
      <c r="B85" s="332"/>
      <c r="C85" s="332"/>
      <c r="D85" s="332"/>
      <c r="E85" s="332"/>
      <c r="F85" s="332"/>
    </row>
    <row r="86" spans="1:6" x14ac:dyDescent="0.2">
      <c r="A86" s="332"/>
      <c r="B86" s="332"/>
      <c r="C86" s="332"/>
      <c r="D86" s="332"/>
      <c r="E86" s="332"/>
      <c r="F86" s="332"/>
    </row>
    <row r="87" spans="1:6" x14ac:dyDescent="0.2">
      <c r="A87" s="332"/>
      <c r="B87" s="332"/>
      <c r="C87" s="332"/>
      <c r="D87" s="332"/>
      <c r="E87" s="332"/>
      <c r="F87" s="332"/>
    </row>
    <row r="88" spans="1:6" x14ac:dyDescent="0.2">
      <c r="A88" s="332"/>
      <c r="B88" s="332"/>
      <c r="C88" s="332"/>
      <c r="D88" s="332"/>
      <c r="E88" s="332"/>
      <c r="F88" s="332"/>
    </row>
    <row r="89" spans="1:6" x14ac:dyDescent="0.2">
      <c r="A89" s="332"/>
      <c r="B89" s="332"/>
      <c r="C89" s="332"/>
      <c r="D89" s="332"/>
      <c r="E89" s="332"/>
      <c r="F89" s="332"/>
    </row>
    <row r="90" spans="1:6" x14ac:dyDescent="0.2">
      <c r="A90" s="332"/>
      <c r="B90" s="332"/>
      <c r="C90" s="332"/>
      <c r="D90" s="332"/>
      <c r="E90" s="332"/>
      <c r="F90" s="332"/>
    </row>
    <row r="91" spans="1:6" x14ac:dyDescent="0.2">
      <c r="A91" s="332"/>
      <c r="B91" s="332"/>
      <c r="C91" s="332"/>
      <c r="D91" s="332"/>
      <c r="E91" s="332"/>
      <c r="F91" s="332"/>
    </row>
    <row r="92" spans="1:6" x14ac:dyDescent="0.2">
      <c r="A92" s="332"/>
      <c r="B92" s="332"/>
      <c r="C92" s="332"/>
      <c r="D92" s="332"/>
      <c r="E92" s="332"/>
      <c r="F92" s="332"/>
    </row>
    <row r="93" spans="1:6" x14ac:dyDescent="0.2">
      <c r="A93" s="332"/>
      <c r="B93" s="332"/>
      <c r="C93" s="332"/>
      <c r="D93" s="332"/>
      <c r="E93" s="332"/>
      <c r="F93" s="332"/>
    </row>
    <row r="94" spans="1:6" x14ac:dyDescent="0.2">
      <c r="A94" s="332"/>
      <c r="B94" s="332"/>
      <c r="C94" s="332"/>
      <c r="D94" s="332"/>
      <c r="E94" s="332"/>
      <c r="F94" s="332"/>
    </row>
    <row r="95" spans="1:6" x14ac:dyDescent="0.2">
      <c r="A95" s="332"/>
      <c r="B95" s="332"/>
      <c r="C95" s="332"/>
      <c r="D95" s="332"/>
      <c r="E95" s="332"/>
      <c r="F95" s="332"/>
    </row>
    <row r="96" spans="1:6" x14ac:dyDescent="0.2">
      <c r="A96" s="332"/>
      <c r="B96" s="332"/>
      <c r="C96" s="332"/>
      <c r="D96" s="332"/>
      <c r="E96" s="332"/>
      <c r="F96" s="332"/>
    </row>
    <row r="97" spans="1:6" x14ac:dyDescent="0.2">
      <c r="A97" s="332"/>
      <c r="B97" s="332"/>
      <c r="C97" s="332"/>
      <c r="D97" s="332"/>
      <c r="E97" s="332"/>
      <c r="F97" s="332"/>
    </row>
    <row r="98" spans="1:6" x14ac:dyDescent="0.2">
      <c r="A98" s="332"/>
      <c r="B98" s="332"/>
      <c r="C98" s="332"/>
      <c r="D98" s="332"/>
      <c r="E98" s="332"/>
      <c r="F98" s="332"/>
    </row>
    <row r="99" spans="1:6" x14ac:dyDescent="0.2">
      <c r="A99" s="332"/>
      <c r="B99" s="332"/>
      <c r="C99" s="332"/>
      <c r="D99" s="332"/>
      <c r="E99" s="332"/>
      <c r="F99" s="332"/>
    </row>
    <row r="100" spans="1:6" x14ac:dyDescent="0.2">
      <c r="A100" s="332"/>
      <c r="B100" s="332"/>
      <c r="C100" s="332"/>
      <c r="D100" s="332"/>
      <c r="E100" s="332"/>
      <c r="F100" s="332"/>
    </row>
    <row r="101" spans="1:6" x14ac:dyDescent="0.2">
      <c r="A101" s="332"/>
      <c r="B101" s="332"/>
      <c r="C101" s="332"/>
      <c r="D101" s="332"/>
      <c r="E101" s="332"/>
      <c r="F101" s="332"/>
    </row>
    <row r="102" spans="1:6" x14ac:dyDescent="0.2">
      <c r="A102" s="332"/>
      <c r="B102" s="332"/>
      <c r="C102" s="332"/>
      <c r="D102" s="332"/>
      <c r="E102" s="332"/>
      <c r="F102" s="332"/>
    </row>
    <row r="103" spans="1:6" x14ac:dyDescent="0.2">
      <c r="A103" s="332"/>
      <c r="B103" s="332"/>
      <c r="C103" s="332"/>
      <c r="D103" s="332"/>
      <c r="E103" s="332"/>
      <c r="F103" s="332"/>
    </row>
    <row r="104" spans="1:6" x14ac:dyDescent="0.2">
      <c r="A104" s="332"/>
      <c r="B104" s="332"/>
      <c r="C104" s="332"/>
      <c r="D104" s="332"/>
      <c r="E104" s="332"/>
      <c r="F104" s="332"/>
    </row>
    <row r="105" spans="1:6" x14ac:dyDescent="0.2">
      <c r="A105" s="332"/>
      <c r="B105" s="332"/>
      <c r="C105" s="332"/>
      <c r="D105" s="332"/>
      <c r="E105" s="332"/>
      <c r="F105" s="332"/>
    </row>
    <row r="106" spans="1:6" x14ac:dyDescent="0.2">
      <c r="A106" s="332"/>
      <c r="B106" s="332"/>
      <c r="C106" s="332"/>
      <c r="D106" s="332"/>
      <c r="E106" s="332"/>
      <c r="F106" s="332"/>
    </row>
    <row r="107" spans="1:6" x14ac:dyDescent="0.2">
      <c r="A107" s="332"/>
      <c r="B107" s="332"/>
      <c r="C107" s="332"/>
      <c r="D107" s="332"/>
      <c r="E107" s="332"/>
      <c r="F107" s="332"/>
    </row>
    <row r="108" spans="1:6" x14ac:dyDescent="0.2">
      <c r="A108" s="332"/>
      <c r="B108" s="332"/>
      <c r="C108" s="332"/>
      <c r="D108" s="332"/>
      <c r="E108" s="332"/>
      <c r="F108" s="332"/>
    </row>
    <row r="109" spans="1:6" x14ac:dyDescent="0.2">
      <c r="A109" s="332"/>
      <c r="B109" s="332"/>
      <c r="C109" s="332"/>
      <c r="D109" s="332"/>
      <c r="E109" s="332"/>
      <c r="F109" s="332"/>
    </row>
    <row r="110" spans="1:6" x14ac:dyDescent="0.2">
      <c r="A110" s="332"/>
      <c r="B110" s="332"/>
      <c r="C110" s="332"/>
      <c r="D110" s="332"/>
      <c r="E110" s="332"/>
      <c r="F110" s="332"/>
    </row>
    <row r="111" spans="1:6" x14ac:dyDescent="0.2">
      <c r="A111" s="332"/>
      <c r="B111" s="332"/>
      <c r="C111" s="332"/>
      <c r="D111" s="332"/>
      <c r="E111" s="332"/>
      <c r="F111" s="332"/>
    </row>
    <row r="112" spans="1:6" x14ac:dyDescent="0.2">
      <c r="A112" s="332"/>
      <c r="B112" s="332"/>
      <c r="C112" s="332"/>
      <c r="D112" s="332"/>
      <c r="E112" s="332"/>
      <c r="F112" s="332"/>
    </row>
    <row r="113" spans="1:6" x14ac:dyDescent="0.2">
      <c r="A113" s="332"/>
      <c r="B113" s="332"/>
      <c r="C113" s="332"/>
      <c r="D113" s="332"/>
      <c r="E113" s="332"/>
      <c r="F113" s="332"/>
    </row>
    <row r="114" spans="1:6" x14ac:dyDescent="0.2">
      <c r="A114" s="332"/>
      <c r="B114" s="332"/>
      <c r="C114" s="332"/>
      <c r="D114" s="332"/>
      <c r="E114" s="332"/>
      <c r="F114" s="332"/>
    </row>
  </sheetData>
  <mergeCells count="4">
    <mergeCell ref="A1:I1"/>
    <mergeCell ref="A2:I2"/>
    <mergeCell ref="A3:I3"/>
    <mergeCell ref="A6:F6"/>
  </mergeCells>
  <pageMargins left="0.7" right="0.7" top="0.75" bottom="0.75" header="0.3" footer="0.3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90"/>
  <sheetViews>
    <sheetView topLeftCell="A34" zoomScaleNormal="100" workbookViewId="0">
      <selection activeCell="A13" sqref="A13:F13"/>
    </sheetView>
  </sheetViews>
  <sheetFormatPr defaultColWidth="21.5" defaultRowHeight="13.5" customHeight="1" x14ac:dyDescent="0.2"/>
  <cols>
    <col min="1" max="1" width="75.83203125" style="1" customWidth="1"/>
    <col min="2" max="3" width="15.83203125" style="1" customWidth="1"/>
    <col min="4" max="4" width="2.5" style="1" customWidth="1"/>
    <col min="5" max="6" width="15.83203125" style="1" customWidth="1"/>
    <col min="7" max="16384" width="21.5" style="1"/>
  </cols>
  <sheetData>
    <row r="1" spans="1:7" ht="13.5" customHeight="1" x14ac:dyDescent="0.25">
      <c r="A1" s="363" t="s">
        <v>0</v>
      </c>
      <c r="B1" s="366"/>
      <c r="C1" s="381"/>
      <c r="D1" s="381"/>
      <c r="E1" s="365"/>
      <c r="F1" s="365"/>
      <c r="G1" s="3"/>
    </row>
    <row r="2" spans="1:7" ht="13.5" customHeight="1" x14ac:dyDescent="0.25">
      <c r="A2" s="363" t="s">
        <v>47</v>
      </c>
      <c r="B2" s="366"/>
      <c r="C2" s="381"/>
      <c r="D2" s="381"/>
      <c r="E2" s="381"/>
      <c r="F2" s="366"/>
      <c r="G2" s="3"/>
    </row>
    <row r="3" spans="1:7" ht="13.5" customHeight="1" x14ac:dyDescent="0.25">
      <c r="A3" s="363" t="s">
        <v>2</v>
      </c>
      <c r="B3" s="366"/>
      <c r="C3" s="381"/>
      <c r="D3" s="381"/>
      <c r="E3" s="381"/>
      <c r="F3" s="366"/>
      <c r="G3" s="3"/>
    </row>
    <row r="4" spans="1:7" ht="13.5" customHeight="1" x14ac:dyDescent="0.2">
      <c r="A4" s="3"/>
      <c r="B4" s="3"/>
      <c r="C4" s="3"/>
      <c r="D4" s="3"/>
      <c r="E4" s="3"/>
      <c r="F4" s="3"/>
      <c r="G4" s="3"/>
    </row>
    <row r="5" spans="1:7" ht="13.5" customHeight="1" x14ac:dyDescent="0.2">
      <c r="A5" s="5" t="s">
        <v>87</v>
      </c>
      <c r="B5" s="3"/>
      <c r="C5" s="3"/>
      <c r="D5" s="3"/>
      <c r="E5" s="3"/>
      <c r="F5" s="3"/>
      <c r="G5" s="3"/>
    </row>
    <row r="6" spans="1:7" ht="13.5" customHeight="1" x14ac:dyDescent="0.2">
      <c r="A6" s="3"/>
      <c r="B6" s="3"/>
      <c r="C6" s="3"/>
      <c r="D6" s="3"/>
      <c r="E6" s="3"/>
      <c r="F6" s="3"/>
      <c r="G6" s="3"/>
    </row>
    <row r="7" spans="1:7" ht="13.5" customHeight="1" x14ac:dyDescent="0.2">
      <c r="A7" s="369" t="s">
        <v>95</v>
      </c>
      <c r="B7" s="366"/>
      <c r="C7" s="366"/>
      <c r="D7" s="366"/>
      <c r="E7" s="366"/>
      <c r="F7" s="366"/>
      <c r="G7" s="3"/>
    </row>
    <row r="8" spans="1:7" ht="13.5" customHeight="1" x14ac:dyDescent="0.2">
      <c r="A8" s="369" t="s">
        <v>120</v>
      </c>
      <c r="B8" s="366"/>
      <c r="C8" s="366"/>
      <c r="D8" s="366"/>
      <c r="E8" s="366"/>
      <c r="F8" s="366"/>
      <c r="G8" s="3"/>
    </row>
    <row r="9" spans="1:7" ht="13.5" customHeight="1" x14ac:dyDescent="0.2">
      <c r="A9" s="361" t="s">
        <v>151</v>
      </c>
      <c r="B9" s="362"/>
      <c r="C9" s="362"/>
      <c r="D9" s="362"/>
      <c r="E9" s="362"/>
      <c r="F9" s="362"/>
      <c r="G9" s="3"/>
    </row>
    <row r="10" spans="1:7" s="259" customFormat="1" ht="13.5" customHeight="1" x14ac:dyDescent="0.2">
      <c r="A10" s="256" t="s">
        <v>150</v>
      </c>
      <c r="B10" s="257"/>
      <c r="C10" s="257"/>
      <c r="D10" s="257"/>
      <c r="E10" s="257"/>
      <c r="F10" s="257"/>
      <c r="G10" s="258"/>
    </row>
    <row r="11" spans="1:7" ht="13.5" customHeight="1" x14ac:dyDescent="0.2">
      <c r="A11" s="366"/>
      <c r="B11" s="366"/>
      <c r="C11" s="366"/>
      <c r="D11" s="366"/>
      <c r="E11" s="366"/>
      <c r="F11" s="366"/>
      <c r="G11" s="3"/>
    </row>
    <row r="12" spans="1:7" ht="13.5" customHeight="1" x14ac:dyDescent="0.2">
      <c r="A12" s="369" t="s">
        <v>103</v>
      </c>
      <c r="B12" s="366"/>
      <c r="C12" s="366"/>
      <c r="D12" s="366"/>
      <c r="E12" s="366"/>
      <c r="F12" s="366"/>
      <c r="G12" s="3"/>
    </row>
    <row r="13" spans="1:7" ht="13.5" customHeight="1" x14ac:dyDescent="0.2">
      <c r="A13" s="369" t="s">
        <v>104</v>
      </c>
      <c r="B13" s="366"/>
      <c r="C13" s="366"/>
      <c r="D13" s="366"/>
      <c r="E13" s="366"/>
      <c r="F13" s="366"/>
      <c r="G13" s="3"/>
    </row>
    <row r="14" spans="1:7" ht="13.5" customHeight="1" x14ac:dyDescent="0.2">
      <c r="A14" s="369" t="s">
        <v>105</v>
      </c>
      <c r="B14" s="366"/>
      <c r="C14" s="366"/>
      <c r="D14" s="366"/>
      <c r="E14" s="366"/>
      <c r="F14" s="366"/>
      <c r="G14" s="3"/>
    </row>
    <row r="15" spans="1:7" ht="13.5" customHeight="1" x14ac:dyDescent="0.2">
      <c r="A15" s="369" t="s">
        <v>106</v>
      </c>
      <c r="B15" s="366"/>
      <c r="C15" s="366"/>
      <c r="D15" s="366"/>
      <c r="E15" s="366"/>
      <c r="F15" s="366"/>
      <c r="G15" s="3"/>
    </row>
    <row r="16" spans="1:7" ht="13.5" customHeight="1" x14ac:dyDescent="0.2">
      <c r="A16" s="369" t="s">
        <v>131</v>
      </c>
      <c r="B16" s="366"/>
      <c r="C16" s="366"/>
      <c r="D16" s="366"/>
      <c r="E16" s="366"/>
      <c r="F16" s="366"/>
      <c r="G16" s="3"/>
    </row>
    <row r="17" spans="1:8" ht="13.5" customHeight="1" x14ac:dyDescent="0.2">
      <c r="A17" s="369" t="s">
        <v>133</v>
      </c>
      <c r="B17" s="366"/>
      <c r="C17" s="366"/>
      <c r="D17" s="366"/>
      <c r="E17" s="366"/>
      <c r="F17" s="366"/>
      <c r="G17" s="3"/>
    </row>
    <row r="18" spans="1:8" ht="13.5" customHeight="1" x14ac:dyDescent="0.2">
      <c r="A18" s="369" t="s">
        <v>132</v>
      </c>
      <c r="B18" s="366"/>
      <c r="C18" s="366"/>
      <c r="D18" s="366"/>
      <c r="E18" s="366"/>
      <c r="F18" s="366"/>
      <c r="G18" s="3"/>
    </row>
    <row r="19" spans="1:8" ht="13.5" customHeight="1" x14ac:dyDescent="0.2">
      <c r="A19" s="3"/>
      <c r="B19" s="3"/>
      <c r="C19" s="3"/>
      <c r="D19" s="3"/>
      <c r="E19" s="3"/>
      <c r="F19" s="3"/>
      <c r="G19" s="3"/>
    </row>
    <row r="20" spans="1:8" ht="13.5" customHeight="1" x14ac:dyDescent="0.2">
      <c r="A20" s="3"/>
      <c r="B20" s="377" t="s">
        <v>90</v>
      </c>
      <c r="C20" s="377"/>
      <c r="D20" s="303"/>
      <c r="E20" s="290" t="s">
        <v>90</v>
      </c>
      <c r="F20" s="230" t="s">
        <v>89</v>
      </c>
      <c r="G20" s="3"/>
    </row>
    <row r="21" spans="1:8" ht="45" x14ac:dyDescent="0.2">
      <c r="A21" s="3"/>
      <c r="B21" s="195" t="s">
        <v>157</v>
      </c>
      <c r="C21" s="294" t="s">
        <v>160</v>
      </c>
      <c r="D21" s="38"/>
      <c r="E21" s="228" t="s">
        <v>163</v>
      </c>
      <c r="F21" s="195" t="s">
        <v>162</v>
      </c>
      <c r="G21" s="25"/>
      <c r="H21" s="295"/>
    </row>
    <row r="22" spans="1:8" ht="13.5" customHeight="1" x14ac:dyDescent="0.2">
      <c r="A22" s="3"/>
      <c r="B22" s="268" t="s">
        <v>4</v>
      </c>
      <c r="C22" s="268" t="s">
        <v>4</v>
      </c>
      <c r="D22" s="191"/>
      <c r="E22" s="152" t="s">
        <v>4</v>
      </c>
      <c r="F22" s="188" t="s">
        <v>4</v>
      </c>
      <c r="G22" s="185"/>
      <c r="H22" s="185"/>
    </row>
    <row r="23" spans="1:8" ht="13.5" customHeight="1" x14ac:dyDescent="0.2">
      <c r="A23" s="10" t="s">
        <v>166</v>
      </c>
      <c r="B23" s="189">
        <f>'Statements of Operations'!B41</f>
        <v>81271</v>
      </c>
      <c r="C23" s="189">
        <f>'Statements of Operations'!C41</f>
        <v>238450</v>
      </c>
      <c r="D23" s="197"/>
      <c r="E23" s="162">
        <f>'Statements of Operations'!E41</f>
        <v>33449</v>
      </c>
      <c r="F23" s="78">
        <f>'Statements of Operations'!F41</f>
        <v>1242081</v>
      </c>
      <c r="G23" s="3"/>
    </row>
    <row r="24" spans="1:8" ht="13.5" customHeight="1" x14ac:dyDescent="0.2">
      <c r="A24" s="9" t="s">
        <v>165</v>
      </c>
      <c r="B24" s="118">
        <f>'Statements of Operations'!B39</f>
        <v>-34771</v>
      </c>
      <c r="C24" s="118">
        <f>'Statements of Operations'!C39</f>
        <v>-35255</v>
      </c>
      <c r="D24" s="182"/>
      <c r="E24" s="159">
        <f>'Statements of Operations'!E39</f>
        <v>1156</v>
      </c>
      <c r="F24" s="80">
        <f>'Statements of Operations'!F39</f>
        <v>-4626</v>
      </c>
      <c r="G24" s="3"/>
    </row>
    <row r="25" spans="1:8" ht="13.5" customHeight="1" x14ac:dyDescent="0.2">
      <c r="A25" s="9" t="s">
        <v>11</v>
      </c>
      <c r="B25" s="118">
        <f>-'Statements of Operations'!B29</f>
        <v>4945</v>
      </c>
      <c r="C25" s="118">
        <f>-'Statements of Operations'!C29</f>
        <v>24256</v>
      </c>
      <c r="D25" s="118"/>
      <c r="E25" s="159">
        <f>-'Statements of Operations'!E29</f>
        <v>10754</v>
      </c>
      <c r="F25" s="80">
        <f>-'Statements of Operations'!F29</f>
        <v>133235</v>
      </c>
      <c r="G25" s="3"/>
    </row>
    <row r="26" spans="1:8" ht="13.5" customHeight="1" x14ac:dyDescent="0.2">
      <c r="A26" s="9" t="s">
        <v>8</v>
      </c>
      <c r="B26" s="118">
        <f>'Statements of Operations'!B14</f>
        <v>27928</v>
      </c>
      <c r="C26" s="118">
        <f>'Statements of Operations'!C14</f>
        <v>122464</v>
      </c>
      <c r="D26" s="182"/>
      <c r="E26" s="159">
        <f>'Statements of Operations'!E14</f>
        <v>32604</v>
      </c>
      <c r="F26" s="80">
        <f>'Statements of Operations'!F14</f>
        <v>191581</v>
      </c>
      <c r="G26" s="3"/>
    </row>
    <row r="27" spans="1:8" s="137" customFormat="1" ht="13.5" customHeight="1" x14ac:dyDescent="0.2">
      <c r="A27" s="9" t="s">
        <v>94</v>
      </c>
      <c r="B27" s="118">
        <f>'Statements of Operations'!B15</f>
        <v>7383</v>
      </c>
      <c r="C27" s="118">
        <f>'Statements of Operations'!C15</f>
        <v>30209</v>
      </c>
      <c r="D27" s="182"/>
      <c r="E27" s="159">
        <f>'Statements of Operations'!E15</f>
        <v>7634</v>
      </c>
      <c r="F27" s="80">
        <f>'Statements of Operations'!F15</f>
        <v>24321</v>
      </c>
      <c r="G27" s="110"/>
    </row>
    <row r="28" spans="1:8" ht="13.5" customHeight="1" x14ac:dyDescent="0.2">
      <c r="A28" s="9" t="s">
        <v>102</v>
      </c>
      <c r="B28" s="118">
        <f>'Statements of Operations'!B16</f>
        <v>11082</v>
      </c>
      <c r="C28" s="118">
        <f>'Statements of Operations'!C16</f>
        <v>53985</v>
      </c>
      <c r="D28" s="182"/>
      <c r="E28" s="159">
        <f>'Statements of Operations'!E16</f>
        <v>796</v>
      </c>
      <c r="F28" s="118">
        <f>'Statements of Operations'!F16</f>
        <v>-728</v>
      </c>
      <c r="G28" s="3"/>
    </row>
    <row r="29" spans="1:8" s="50" customFormat="1" ht="13.5" customHeight="1" x14ac:dyDescent="0.2">
      <c r="A29" s="9" t="s">
        <v>79</v>
      </c>
      <c r="B29" s="118">
        <f>'Statements of Operations'!B18</f>
        <v>0</v>
      </c>
      <c r="C29" s="118">
        <f>'Statements of Operations'!C18</f>
        <v>0</v>
      </c>
      <c r="D29" s="182"/>
      <c r="E29" s="159">
        <f>'Statements of Operations'!E18</f>
        <v>0</v>
      </c>
      <c r="F29" s="118">
        <f>'Statements of Operations'!F18</f>
        <v>129267</v>
      </c>
      <c r="G29" s="49"/>
    </row>
    <row r="30" spans="1:8" s="249" customFormat="1" ht="13.5" customHeight="1" x14ac:dyDescent="0.2">
      <c r="A30" s="9" t="s">
        <v>141</v>
      </c>
      <c r="B30" s="118">
        <f>'Statements of Operations'!B20</f>
        <v>277</v>
      </c>
      <c r="C30" s="118">
        <f>'Statements of Operations'!C20</f>
        <v>-21297</v>
      </c>
      <c r="D30" s="182"/>
      <c r="E30" s="159">
        <f>'Statements of Operations'!E20</f>
        <v>0</v>
      </c>
      <c r="F30" s="118">
        <f>'Statements of Operations'!F20</f>
        <v>0</v>
      </c>
      <c r="G30" s="248"/>
    </row>
    <row r="31" spans="1:8" s="53" customFormat="1" ht="13.5" customHeight="1" x14ac:dyDescent="0.2">
      <c r="A31" s="186" t="s">
        <v>82</v>
      </c>
      <c r="B31" s="118">
        <f>-'Statements of Operations'!B34</f>
        <v>0</v>
      </c>
      <c r="C31" s="118">
        <f>-'Statements of Operations'!C34</f>
        <v>2547</v>
      </c>
      <c r="D31" s="182"/>
      <c r="E31" s="159">
        <f>-'Statements of Operations'!E34</f>
        <v>0</v>
      </c>
      <c r="F31" s="118">
        <f>-'Statements of Operations'!F34</f>
        <v>2213</v>
      </c>
      <c r="G31" s="52"/>
    </row>
    <row r="32" spans="1:8" s="102" customFormat="1" ht="13.5" customHeight="1" x14ac:dyDescent="0.2">
      <c r="A32" s="9" t="s">
        <v>83</v>
      </c>
      <c r="B32" s="118">
        <f>-'Statements of Operations'!B35</f>
        <v>-494</v>
      </c>
      <c r="C32" s="118">
        <f>-'Statements of Operations'!C35</f>
        <v>2398</v>
      </c>
      <c r="D32" s="182"/>
      <c r="E32" s="159">
        <f>-'Statements of Operations'!E35</f>
        <v>759</v>
      </c>
      <c r="F32" s="118">
        <f>-'Statements of Operations'!F35</f>
        <v>-1630041</v>
      </c>
      <c r="G32" s="101"/>
    </row>
    <row r="33" spans="1:10" s="277" customFormat="1" ht="13.5" customHeight="1" x14ac:dyDescent="0.2">
      <c r="A33" s="9" t="s">
        <v>164</v>
      </c>
      <c r="B33" s="82">
        <v>0</v>
      </c>
      <c r="C33" s="82">
        <v>0</v>
      </c>
      <c r="D33" s="182"/>
      <c r="E33" s="160">
        <v>7345</v>
      </c>
      <c r="F33" s="82">
        <v>0</v>
      </c>
      <c r="G33" s="276"/>
    </row>
    <row r="34" spans="1:10" ht="13.5" customHeight="1" x14ac:dyDescent="0.2">
      <c r="A34" s="9"/>
      <c r="B34" s="279"/>
      <c r="C34" s="126"/>
      <c r="D34" s="128"/>
      <c r="E34" s="199"/>
      <c r="F34" s="126"/>
      <c r="G34" s="3"/>
    </row>
    <row r="35" spans="1:10" ht="13.5" customHeight="1" thickBot="1" x14ac:dyDescent="0.25">
      <c r="A35" s="10" t="s">
        <v>87</v>
      </c>
      <c r="B35" s="83">
        <f>SUM(B23:B34)</f>
        <v>97621</v>
      </c>
      <c r="C35" s="83">
        <f>SUM(C23:C34)</f>
        <v>417757</v>
      </c>
      <c r="D35" s="197"/>
      <c r="E35" s="161">
        <f>SUM(E23:E34)</f>
        <v>94497</v>
      </c>
      <c r="F35" s="83">
        <f>SUM(F23:F34)</f>
        <v>87303</v>
      </c>
      <c r="G35" s="11"/>
    </row>
    <row r="36" spans="1:10" ht="13.5" customHeight="1" thickTop="1" x14ac:dyDescent="0.2">
      <c r="A36" s="3"/>
      <c r="B36" s="293"/>
      <c r="C36" s="116"/>
      <c r="D36" s="128"/>
      <c r="E36" s="127"/>
      <c r="F36" s="128"/>
      <c r="G36" s="3"/>
    </row>
    <row r="37" spans="1:10" ht="13.5" customHeight="1" x14ac:dyDescent="0.2">
      <c r="A37" s="379" t="s">
        <v>98</v>
      </c>
      <c r="B37" s="380"/>
      <c r="C37" s="380"/>
      <c r="D37" s="3"/>
      <c r="E37" s="25"/>
      <c r="F37" s="25"/>
      <c r="G37" s="3"/>
    </row>
    <row r="38" spans="1:10" ht="13.5" customHeight="1" x14ac:dyDescent="0.2">
      <c r="A38" s="3"/>
      <c r="B38" s="3"/>
      <c r="C38" s="3"/>
      <c r="D38" s="3"/>
      <c r="E38" s="3"/>
      <c r="F38" s="3"/>
      <c r="G38" s="3"/>
    </row>
    <row r="39" spans="1:10" ht="13.5" customHeight="1" x14ac:dyDescent="0.2">
      <c r="A39" s="369" t="s">
        <v>107</v>
      </c>
      <c r="B39" s="380"/>
      <c r="C39" s="380"/>
      <c r="D39" s="366"/>
      <c r="E39" s="380"/>
      <c r="F39" s="380"/>
      <c r="G39" s="3"/>
    </row>
    <row r="40" spans="1:10" ht="13.5" customHeight="1" x14ac:dyDescent="0.2">
      <c r="A40" s="369" t="s">
        <v>148</v>
      </c>
      <c r="B40" s="380"/>
      <c r="C40" s="380"/>
      <c r="D40" s="366"/>
      <c r="E40" s="380"/>
      <c r="F40" s="380"/>
      <c r="G40" s="3"/>
    </row>
    <row r="41" spans="1:10" s="261" customFormat="1" ht="13.5" customHeight="1" x14ac:dyDescent="0.2">
      <c r="A41" s="369" t="s">
        <v>149</v>
      </c>
      <c r="B41" s="369"/>
      <c r="C41" s="369"/>
      <c r="D41" s="369"/>
      <c r="E41" s="369"/>
      <c r="F41" s="369"/>
      <c r="G41" s="260"/>
    </row>
    <row r="42" spans="1:10" s="261" customFormat="1" ht="13.5" customHeight="1" x14ac:dyDescent="0.2">
      <c r="A42" s="369" t="s">
        <v>152</v>
      </c>
      <c r="B42" s="380"/>
      <c r="C42" s="380"/>
      <c r="D42" s="366"/>
      <c r="E42" s="380"/>
      <c r="F42" s="380"/>
      <c r="G42" s="260"/>
    </row>
    <row r="43" spans="1:10" ht="13.5" customHeight="1" x14ac:dyDescent="0.2">
      <c r="A43" s="369" t="s">
        <v>153</v>
      </c>
      <c r="B43" s="380"/>
      <c r="C43" s="380"/>
      <c r="D43" s="366"/>
      <c r="E43" s="380"/>
      <c r="F43" s="380"/>
      <c r="G43" s="3"/>
    </row>
    <row r="44" spans="1:10" ht="13.5" customHeight="1" x14ac:dyDescent="0.2">
      <c r="A44" s="369" t="s">
        <v>154</v>
      </c>
      <c r="B44" s="380"/>
      <c r="C44" s="380"/>
      <c r="D44" s="366"/>
      <c r="E44" s="380"/>
      <c r="F44" s="380"/>
      <c r="G44" s="3"/>
    </row>
    <row r="45" spans="1:10" ht="13.5" customHeight="1" x14ac:dyDescent="0.2">
      <c r="A45" s="369" t="s">
        <v>156</v>
      </c>
      <c r="B45" s="380"/>
      <c r="C45" s="380"/>
      <c r="D45" s="366"/>
      <c r="E45" s="380"/>
      <c r="F45" s="380"/>
      <c r="G45" s="3"/>
    </row>
    <row r="46" spans="1:10" s="265" customFormat="1" ht="13.5" customHeight="1" x14ac:dyDescent="0.2">
      <c r="A46" s="266" t="s">
        <v>155</v>
      </c>
      <c r="B46" s="267"/>
      <c r="C46" s="267"/>
      <c r="D46" s="264"/>
      <c r="E46" s="267"/>
      <c r="F46" s="267"/>
      <c r="G46" s="264"/>
    </row>
    <row r="47" spans="1:10" s="261" customFormat="1" ht="13.5" customHeight="1" x14ac:dyDescent="0.2">
      <c r="A47" s="262"/>
      <c r="B47" s="263"/>
      <c r="C47" s="263"/>
      <c r="D47" s="260"/>
      <c r="E47" s="263"/>
      <c r="F47" s="263"/>
      <c r="G47" s="260"/>
    </row>
    <row r="48" spans="1:10" ht="12.75" x14ac:dyDescent="0.2">
      <c r="A48" s="3"/>
      <c r="B48" s="364" t="s">
        <v>90</v>
      </c>
      <c r="C48" s="364"/>
      <c r="D48" s="299"/>
      <c r="E48" s="289" t="s">
        <v>90</v>
      </c>
      <c r="F48" s="196" t="s">
        <v>89</v>
      </c>
      <c r="G48" s="3"/>
      <c r="H48" s="378"/>
      <c r="I48" s="368"/>
      <c r="J48" s="368"/>
    </row>
    <row r="49" spans="1:10" ht="45" x14ac:dyDescent="0.2">
      <c r="A49" s="3"/>
      <c r="B49" s="195" t="str">
        <f>B21</f>
        <v>Three Months Ended December 31, 2017</v>
      </c>
      <c r="C49" s="134" t="str">
        <f>C21</f>
        <v>Twelve Months Ended December 31, 2017</v>
      </c>
      <c r="D49" s="198" t="s">
        <v>3</v>
      </c>
      <c r="E49" s="151" t="str">
        <f>E21</f>
        <v>October 2, 2016 through December 31, 2016</v>
      </c>
      <c r="F49" s="195" t="str">
        <f>F21</f>
        <v>January 1, 2016 through October 1, 2016</v>
      </c>
      <c r="G49" s="10" t="s">
        <v>3</v>
      </c>
      <c r="H49" s="4" t="s">
        <v>3</v>
      </c>
      <c r="I49" s="15" t="s">
        <v>3</v>
      </c>
      <c r="J49" s="4" t="s">
        <v>3</v>
      </c>
    </row>
    <row r="50" spans="1:10" ht="13.5" customHeight="1" x14ac:dyDescent="0.2">
      <c r="A50" s="3"/>
      <c r="B50" s="281" t="s">
        <v>4</v>
      </c>
      <c r="C50" s="280" t="s">
        <v>4</v>
      </c>
      <c r="D50" s="194"/>
      <c r="E50" s="192" t="s">
        <v>4</v>
      </c>
      <c r="F50" s="193" t="s">
        <v>4</v>
      </c>
      <c r="G50" s="3"/>
    </row>
    <row r="51" spans="1:10" ht="13.5" customHeight="1" x14ac:dyDescent="0.2">
      <c r="A51" s="115" t="s">
        <v>166</v>
      </c>
      <c r="B51" s="189">
        <f>B23</f>
        <v>81271</v>
      </c>
      <c r="C51" s="78">
        <f>C23</f>
        <v>238450</v>
      </c>
      <c r="D51" s="119"/>
      <c r="E51" s="162">
        <f>E23</f>
        <v>33449</v>
      </c>
      <c r="F51" s="78">
        <f>F23</f>
        <v>1242081</v>
      </c>
      <c r="G51" s="3"/>
      <c r="H51" s="13"/>
      <c r="I51" s="3"/>
      <c r="J51" s="13"/>
    </row>
    <row r="52" spans="1:10" ht="13.5" customHeight="1" x14ac:dyDescent="0.2">
      <c r="A52" s="116"/>
      <c r="B52" s="282"/>
      <c r="C52" s="86"/>
      <c r="D52" s="64"/>
      <c r="E52" s="174"/>
      <c r="F52" s="185"/>
      <c r="G52" s="3"/>
      <c r="H52" s="3"/>
      <c r="I52" s="3"/>
      <c r="J52" s="3"/>
    </row>
    <row r="53" spans="1:10" ht="13.5" customHeight="1" x14ac:dyDescent="0.2">
      <c r="A53" s="66" t="s">
        <v>102</v>
      </c>
      <c r="B53" s="118">
        <f t="shared" ref="B53:C58" si="0">B28</f>
        <v>11082</v>
      </c>
      <c r="C53" s="80">
        <f t="shared" si="0"/>
        <v>53985</v>
      </c>
      <c r="D53" s="121"/>
      <c r="E53" s="159">
        <f t="shared" ref="E53:F58" si="1">E28</f>
        <v>796</v>
      </c>
      <c r="F53" s="80">
        <f t="shared" si="1"/>
        <v>-728</v>
      </c>
      <c r="G53" s="93"/>
      <c r="H53" s="16"/>
      <c r="I53" s="3"/>
      <c r="J53" s="16"/>
    </row>
    <row r="54" spans="1:10" s="50" customFormat="1" ht="13.5" customHeight="1" x14ac:dyDescent="0.2">
      <c r="A54" s="66" t="s">
        <v>79</v>
      </c>
      <c r="B54" s="118">
        <f t="shared" si="0"/>
        <v>0</v>
      </c>
      <c r="C54" s="80">
        <f t="shared" si="0"/>
        <v>0</v>
      </c>
      <c r="D54" s="121"/>
      <c r="E54" s="159">
        <f t="shared" si="1"/>
        <v>0</v>
      </c>
      <c r="F54" s="80">
        <f t="shared" si="1"/>
        <v>129267</v>
      </c>
      <c r="G54" s="49"/>
      <c r="H54" s="51"/>
      <c r="I54" s="49"/>
      <c r="J54" s="51"/>
    </row>
    <row r="55" spans="1:10" s="249" customFormat="1" ht="13.5" customHeight="1" x14ac:dyDescent="0.2">
      <c r="A55" s="9" t="s">
        <v>141</v>
      </c>
      <c r="B55" s="118">
        <f t="shared" si="0"/>
        <v>277</v>
      </c>
      <c r="C55" s="80">
        <f t="shared" si="0"/>
        <v>-21297</v>
      </c>
      <c r="D55" s="121"/>
      <c r="E55" s="159">
        <f t="shared" si="1"/>
        <v>0</v>
      </c>
      <c r="F55" s="80">
        <f t="shared" si="1"/>
        <v>0</v>
      </c>
      <c r="G55" s="248"/>
      <c r="H55" s="250"/>
      <c r="I55" s="248"/>
      <c r="J55" s="250"/>
    </row>
    <row r="56" spans="1:10" s="53" customFormat="1" ht="13.5" customHeight="1" x14ac:dyDescent="0.2">
      <c r="A56" s="186" t="s">
        <v>82</v>
      </c>
      <c r="B56" s="118">
        <f t="shared" si="0"/>
        <v>0</v>
      </c>
      <c r="C56" s="80">
        <f t="shared" si="0"/>
        <v>2547</v>
      </c>
      <c r="D56" s="121"/>
      <c r="E56" s="159">
        <f t="shared" si="1"/>
        <v>0</v>
      </c>
      <c r="F56" s="80">
        <f t="shared" si="1"/>
        <v>2213</v>
      </c>
      <c r="G56" s="52"/>
      <c r="H56" s="54"/>
      <c r="I56" s="52"/>
      <c r="J56" s="54"/>
    </row>
    <row r="57" spans="1:10" s="102" customFormat="1" ht="13.5" customHeight="1" x14ac:dyDescent="0.2">
      <c r="A57" s="66" t="s">
        <v>83</v>
      </c>
      <c r="B57" s="118">
        <f t="shared" si="0"/>
        <v>-494</v>
      </c>
      <c r="C57" s="80">
        <f t="shared" si="0"/>
        <v>2398</v>
      </c>
      <c r="D57" s="121"/>
      <c r="E57" s="159">
        <f t="shared" si="1"/>
        <v>759</v>
      </c>
      <c r="F57" s="80">
        <f t="shared" si="1"/>
        <v>-1630041</v>
      </c>
      <c r="G57" s="101"/>
      <c r="H57" s="103"/>
      <c r="I57" s="101"/>
      <c r="J57" s="103"/>
    </row>
    <row r="58" spans="1:10" s="277" customFormat="1" ht="13.5" customHeight="1" x14ac:dyDescent="0.2">
      <c r="A58" s="66" t="s">
        <v>164</v>
      </c>
      <c r="B58" s="118">
        <f t="shared" si="0"/>
        <v>0</v>
      </c>
      <c r="C58" s="80">
        <f t="shared" si="0"/>
        <v>0</v>
      </c>
      <c r="D58" s="121"/>
      <c r="E58" s="159">
        <f t="shared" si="1"/>
        <v>7345</v>
      </c>
      <c r="F58" s="80">
        <f t="shared" si="1"/>
        <v>0</v>
      </c>
      <c r="G58" s="276"/>
      <c r="H58" s="278"/>
      <c r="I58" s="276"/>
      <c r="J58" s="278"/>
    </row>
    <row r="59" spans="1:10" ht="13.5" customHeight="1" x14ac:dyDescent="0.2">
      <c r="A59" s="66" t="s">
        <v>78</v>
      </c>
      <c r="B59" s="82">
        <f>-ROUND(SUM(B53:B57)*0.02,1)</f>
        <v>-217.3</v>
      </c>
      <c r="C59" s="82">
        <v>-753</v>
      </c>
      <c r="D59" s="122"/>
      <c r="E59" s="160">
        <v>-287</v>
      </c>
      <c r="F59" s="225">
        <v>262</v>
      </c>
      <c r="G59" s="3"/>
      <c r="H59" s="17"/>
      <c r="I59" s="3"/>
      <c r="J59" s="16"/>
    </row>
    <row r="60" spans="1:10" ht="13.5" customHeight="1" x14ac:dyDescent="0.2">
      <c r="A60" s="129"/>
      <c r="B60" s="190"/>
      <c r="C60" s="46"/>
      <c r="D60" s="46"/>
      <c r="E60" s="165"/>
      <c r="F60" s="46"/>
      <c r="G60" s="3"/>
      <c r="H60" s="3"/>
      <c r="I60" s="3"/>
      <c r="J60" s="3"/>
    </row>
    <row r="61" spans="1:10" ht="13.5" customHeight="1" thickBot="1" x14ac:dyDescent="0.25">
      <c r="A61" s="115" t="s">
        <v>99</v>
      </c>
      <c r="B61" s="83">
        <f>SUM(B51:B59)</f>
        <v>91918.7</v>
      </c>
      <c r="C61" s="83">
        <f>SUM(C51:C59)</f>
        <v>275330</v>
      </c>
      <c r="D61" s="119"/>
      <c r="E61" s="161">
        <f>SUM(E51:E59)</f>
        <v>42062</v>
      </c>
      <c r="F61" s="83">
        <f>SUM(F51:F59)</f>
        <v>-256946</v>
      </c>
      <c r="G61" s="13"/>
      <c r="H61" s="13"/>
      <c r="I61" s="13"/>
      <c r="J61" s="13"/>
    </row>
    <row r="62" spans="1:10" ht="13.5" customHeight="1" thickTop="1" x14ac:dyDescent="0.2">
      <c r="A62" s="64"/>
      <c r="B62" s="190"/>
      <c r="C62" s="46"/>
      <c r="D62" s="46"/>
      <c r="E62" s="165"/>
      <c r="F62" s="46"/>
      <c r="G62" s="8"/>
      <c r="H62" s="18"/>
      <c r="I62" s="8"/>
      <c r="J62" s="18"/>
    </row>
    <row r="63" spans="1:10" ht="13.5" customHeight="1" thickBot="1" x14ac:dyDescent="0.25">
      <c r="A63" s="115" t="s">
        <v>14</v>
      </c>
      <c r="B63" s="283">
        <f>'Statements of Operations'!B49</f>
        <v>22333</v>
      </c>
      <c r="C63" s="140">
        <f>'Statements of Operations'!C49</f>
        <v>24240</v>
      </c>
      <c r="D63" s="169"/>
      <c r="E63" s="175">
        <f>'Statements of Operations'!E49</f>
        <v>25469</v>
      </c>
      <c r="F63" s="140" t="str">
        <f>'Statements of Operations'!F48</f>
        <v>N/A</v>
      </c>
      <c r="G63" s="3"/>
      <c r="H63" s="16"/>
      <c r="I63" s="3"/>
      <c r="J63" s="16"/>
    </row>
    <row r="64" spans="1:10" ht="13.5" customHeight="1" thickTop="1" x14ac:dyDescent="0.2">
      <c r="A64" s="116"/>
      <c r="B64" s="128"/>
      <c r="C64" s="170"/>
      <c r="D64" s="169"/>
      <c r="E64" s="166"/>
      <c r="F64" s="170"/>
      <c r="G64" s="3"/>
    </row>
    <row r="65" spans="1:10" ht="13.5" customHeight="1" x14ac:dyDescent="0.2">
      <c r="A65" s="115" t="s">
        <v>172</v>
      </c>
      <c r="B65" s="284">
        <f>'Statements of Operations'!B45</f>
        <v>3.64</v>
      </c>
      <c r="C65" s="171">
        <f>'Statements of Operations'!C45</f>
        <v>9.84</v>
      </c>
      <c r="D65" s="172"/>
      <c r="E65" s="201">
        <f>'Statements of Operations'!E45</f>
        <v>1.31</v>
      </c>
      <c r="F65" s="171" t="str">
        <f>'Statements of Operations'!F44</f>
        <v>N/A</v>
      </c>
      <c r="G65" s="3"/>
      <c r="H65" s="12"/>
      <c r="I65" s="3"/>
      <c r="J65" s="12"/>
    </row>
    <row r="66" spans="1:10" ht="13.5" customHeight="1" x14ac:dyDescent="0.2">
      <c r="A66" s="116"/>
      <c r="B66" s="285"/>
      <c r="C66" s="87"/>
      <c r="D66" s="46"/>
      <c r="E66" s="176"/>
      <c r="F66" s="87"/>
      <c r="G66" s="3"/>
      <c r="H66" s="3"/>
      <c r="I66" s="3"/>
      <c r="J66" s="3"/>
    </row>
    <row r="67" spans="1:10" ht="13.5" customHeight="1" x14ac:dyDescent="0.2">
      <c r="A67" s="66" t="s">
        <v>102</v>
      </c>
      <c r="B67" s="286">
        <f t="shared" ref="B67:B72" si="2">ROUND(B53/$B$63,2)</f>
        <v>0.5</v>
      </c>
      <c r="C67" s="173">
        <f t="shared" ref="C67:C72" si="3">ROUND(C53/$C$63,2)</f>
        <v>2.23</v>
      </c>
      <c r="D67" s="120"/>
      <c r="E67" s="177">
        <f t="shared" ref="E67:E72" si="4">ROUND(E53/$E$63,2)</f>
        <v>0.03</v>
      </c>
      <c r="F67" s="173" t="s">
        <v>161</v>
      </c>
      <c r="G67" s="19"/>
      <c r="H67" s="19"/>
      <c r="I67" s="3"/>
      <c r="J67" s="12"/>
    </row>
    <row r="68" spans="1:10" s="50" customFormat="1" ht="13.5" customHeight="1" x14ac:dyDescent="0.2">
      <c r="A68" s="66" t="s">
        <v>79</v>
      </c>
      <c r="B68" s="286">
        <f t="shared" si="2"/>
        <v>0</v>
      </c>
      <c r="C68" s="173">
        <f t="shared" si="3"/>
        <v>0</v>
      </c>
      <c r="D68" s="120"/>
      <c r="E68" s="177">
        <f t="shared" si="4"/>
        <v>0</v>
      </c>
      <c r="F68" s="173" t="s">
        <v>161</v>
      </c>
      <c r="G68" s="19"/>
      <c r="H68" s="19"/>
      <c r="I68" s="49"/>
      <c r="J68" s="12"/>
    </row>
    <row r="69" spans="1:10" s="249" customFormat="1" ht="13.5" customHeight="1" x14ac:dyDescent="0.2">
      <c r="A69" s="9" t="s">
        <v>141</v>
      </c>
      <c r="B69" s="286">
        <f t="shared" si="2"/>
        <v>0.01</v>
      </c>
      <c r="C69" s="173">
        <f t="shared" si="3"/>
        <v>-0.88</v>
      </c>
      <c r="D69" s="120"/>
      <c r="E69" s="177">
        <f t="shared" si="4"/>
        <v>0</v>
      </c>
      <c r="F69" s="173" t="s">
        <v>161</v>
      </c>
      <c r="G69" s="19"/>
      <c r="H69" s="19"/>
      <c r="I69" s="248"/>
      <c r="J69" s="12"/>
    </row>
    <row r="70" spans="1:10" s="53" customFormat="1" ht="13.5" customHeight="1" x14ac:dyDescent="0.2">
      <c r="A70" s="186" t="s">
        <v>82</v>
      </c>
      <c r="B70" s="286">
        <f t="shared" si="2"/>
        <v>0</v>
      </c>
      <c r="C70" s="173">
        <f t="shared" si="3"/>
        <v>0.11</v>
      </c>
      <c r="D70" s="120"/>
      <c r="E70" s="177">
        <f t="shared" si="4"/>
        <v>0</v>
      </c>
      <c r="F70" s="173" t="s">
        <v>161</v>
      </c>
      <c r="G70" s="19"/>
      <c r="H70" s="19"/>
      <c r="I70" s="52"/>
      <c r="J70" s="12"/>
    </row>
    <row r="71" spans="1:10" s="108" customFormat="1" ht="13.5" customHeight="1" x14ac:dyDescent="0.2">
      <c r="A71" s="66" t="s">
        <v>83</v>
      </c>
      <c r="B71" s="286">
        <f t="shared" si="2"/>
        <v>-0.02</v>
      </c>
      <c r="C71" s="173">
        <f t="shared" si="3"/>
        <v>0.1</v>
      </c>
      <c r="D71" s="120"/>
      <c r="E71" s="177">
        <f t="shared" si="4"/>
        <v>0.03</v>
      </c>
      <c r="F71" s="173" t="s">
        <v>161</v>
      </c>
      <c r="G71" s="19"/>
      <c r="H71" s="19"/>
      <c r="I71" s="107"/>
      <c r="J71" s="12"/>
    </row>
    <row r="72" spans="1:10" s="277" customFormat="1" ht="13.5" customHeight="1" x14ac:dyDescent="0.2">
      <c r="A72" s="66" t="s">
        <v>164</v>
      </c>
      <c r="B72" s="286">
        <f t="shared" si="2"/>
        <v>0</v>
      </c>
      <c r="C72" s="173">
        <f t="shared" si="3"/>
        <v>0</v>
      </c>
      <c r="D72" s="120"/>
      <c r="E72" s="177">
        <f t="shared" si="4"/>
        <v>0.28999999999999998</v>
      </c>
      <c r="F72" s="173"/>
      <c r="G72" s="19"/>
      <c r="H72" s="19"/>
      <c r="I72" s="276"/>
      <c r="J72" s="12"/>
    </row>
    <row r="73" spans="1:10" ht="13.5" customHeight="1" x14ac:dyDescent="0.2">
      <c r="A73" s="66" t="s">
        <v>49</v>
      </c>
      <c r="B73" s="286">
        <f>B74-SUM(B65:B71)</f>
        <v>-1.4175883222138808E-2</v>
      </c>
      <c r="C73" s="173">
        <f>C74-SUM(C65:C71)</f>
        <v>-4.1501650165015391E-2</v>
      </c>
      <c r="D73" s="120"/>
      <c r="E73" s="177">
        <f>E74-SUM(E65:E71)</f>
        <v>0.28149789940712222</v>
      </c>
      <c r="F73" s="173" t="s">
        <v>161</v>
      </c>
      <c r="G73" s="19"/>
      <c r="H73" s="19"/>
      <c r="I73" s="3"/>
      <c r="J73" s="19"/>
    </row>
    <row r="74" spans="1:10" ht="13.5" customHeight="1" thickBot="1" x14ac:dyDescent="0.25">
      <c r="A74" s="115" t="s">
        <v>173</v>
      </c>
      <c r="B74" s="287">
        <f>B61/B63</f>
        <v>4.115824116777862</v>
      </c>
      <c r="C74" s="183">
        <f>C61/C63</f>
        <v>11.358498349834983</v>
      </c>
      <c r="D74" s="123"/>
      <c r="E74" s="178">
        <f>E61/E63</f>
        <v>1.6514978994071223</v>
      </c>
      <c r="F74" s="183" t="s">
        <v>161</v>
      </c>
      <c r="G74" s="3"/>
      <c r="H74" s="12"/>
      <c r="I74" s="3"/>
      <c r="J74" s="12"/>
    </row>
    <row r="75" spans="1:10" ht="13.5" customHeight="1" thickTop="1" x14ac:dyDescent="0.2">
      <c r="A75" s="46"/>
      <c r="B75" s="130"/>
      <c r="C75" s="131"/>
      <c r="D75" s="64"/>
      <c r="E75" s="132"/>
      <c r="F75" s="133"/>
    </row>
    <row r="76" spans="1:10" ht="13.5" customHeight="1" x14ac:dyDescent="0.2">
      <c r="A76" s="354" t="s">
        <v>213</v>
      </c>
      <c r="B76" s="352"/>
      <c r="C76" s="352"/>
      <c r="D76" s="352"/>
      <c r="E76" s="352"/>
      <c r="F76" s="352"/>
    </row>
    <row r="77" spans="1:10" ht="13.5" customHeight="1" x14ac:dyDescent="0.2">
      <c r="A77" s="352"/>
      <c r="B77" s="352"/>
      <c r="C77" s="352"/>
      <c r="D77" s="352"/>
      <c r="E77" s="352"/>
      <c r="F77" s="352"/>
    </row>
    <row r="78" spans="1:10" ht="13.5" customHeight="1" x14ac:dyDescent="0.2">
      <c r="A78" s="369" t="s">
        <v>215</v>
      </c>
      <c r="B78" s="366"/>
      <c r="C78" s="366"/>
      <c r="D78" s="366"/>
      <c r="E78" s="366"/>
      <c r="F78" s="366"/>
    </row>
    <row r="79" spans="1:10" ht="13.5" customHeight="1" x14ac:dyDescent="0.2">
      <c r="A79" s="369" t="s">
        <v>216</v>
      </c>
      <c r="B79" s="366"/>
      <c r="C79" s="366"/>
      <c r="D79" s="366"/>
      <c r="E79" s="366"/>
      <c r="F79" s="366"/>
    </row>
    <row r="80" spans="1:10" ht="13.5" customHeight="1" x14ac:dyDescent="0.2">
      <c r="A80" s="361" t="s">
        <v>217</v>
      </c>
      <c r="B80" s="362"/>
      <c r="C80" s="362"/>
      <c r="D80" s="362"/>
      <c r="E80" s="362"/>
      <c r="F80" s="362"/>
    </row>
    <row r="81" spans="1:6" ht="13.5" customHeight="1" x14ac:dyDescent="0.2">
      <c r="A81" s="349"/>
      <c r="B81" s="350"/>
      <c r="C81" s="350"/>
      <c r="D81" s="350"/>
      <c r="E81" s="350"/>
      <c r="F81" s="350"/>
    </row>
    <row r="82" spans="1:6" ht="13.5" customHeight="1" x14ac:dyDescent="0.2">
      <c r="A82" s="366"/>
      <c r="B82" s="366"/>
      <c r="C82" s="366"/>
      <c r="D82" s="366"/>
      <c r="E82" s="366"/>
      <c r="F82" s="366"/>
    </row>
    <row r="83" spans="1:6" ht="13.5" customHeight="1" x14ac:dyDescent="0.2">
      <c r="A83" s="352"/>
      <c r="C83" s="355" t="s">
        <v>90</v>
      </c>
      <c r="D83" s="303"/>
      <c r="E83" s="290" t="s">
        <v>90</v>
      </c>
      <c r="F83" s="230" t="s">
        <v>89</v>
      </c>
    </row>
    <row r="84" spans="1:6" ht="45" x14ac:dyDescent="0.2">
      <c r="A84" s="352"/>
      <c r="C84" s="351" t="s">
        <v>160</v>
      </c>
      <c r="D84" s="38"/>
      <c r="E84" s="228" t="s">
        <v>163</v>
      </c>
      <c r="F84" s="351" t="s">
        <v>162</v>
      </c>
    </row>
    <row r="85" spans="1:6" ht="13.5" customHeight="1" x14ac:dyDescent="0.2">
      <c r="A85" s="352"/>
      <c r="C85" s="268" t="s">
        <v>4</v>
      </c>
      <c r="D85" s="191"/>
      <c r="E85" s="152" t="s">
        <v>4</v>
      </c>
      <c r="F85" s="188" t="s">
        <v>4</v>
      </c>
    </row>
    <row r="86" spans="1:6" ht="13.5" customHeight="1" x14ac:dyDescent="0.2">
      <c r="A86" s="357" t="s">
        <v>97</v>
      </c>
      <c r="C86" s="189">
        <f>'Statement of Cash Flows'!B30</f>
        <v>396473</v>
      </c>
      <c r="D86" s="197"/>
      <c r="E86" s="162">
        <f>'Statement of Cash Flows'!D30</f>
        <v>84192</v>
      </c>
      <c r="F86" s="78">
        <f>'Statement of Cash Flows'!E30</f>
        <v>-228218</v>
      </c>
    </row>
    <row r="87" spans="1:6" ht="13.5" customHeight="1" x14ac:dyDescent="0.2">
      <c r="A87" s="357" t="s">
        <v>214</v>
      </c>
      <c r="C87" s="82">
        <f>'Statement of Cash Flows'!B33</f>
        <v>-59205</v>
      </c>
      <c r="D87" s="182"/>
      <c r="E87" s="160">
        <f>'Statement of Cash Flows'!D33</f>
        <v>-15214</v>
      </c>
      <c r="F87" s="82">
        <f>'Statement of Cash Flows'!E33</f>
        <v>-82434</v>
      </c>
    </row>
    <row r="88" spans="1:6" ht="13.5" customHeight="1" x14ac:dyDescent="0.2">
      <c r="A88" s="9"/>
      <c r="C88" s="279"/>
      <c r="D88" s="128"/>
      <c r="E88" s="199"/>
      <c r="F88" s="126"/>
    </row>
    <row r="89" spans="1:6" ht="13.5" customHeight="1" thickBot="1" x14ac:dyDescent="0.25">
      <c r="A89" s="353" t="s">
        <v>218</v>
      </c>
      <c r="C89" s="83">
        <f>SUM(C86:C88)</f>
        <v>337268</v>
      </c>
      <c r="D89" s="197"/>
      <c r="E89" s="161">
        <f>SUM(E86:E88)</f>
        <v>68978</v>
      </c>
      <c r="F89" s="83">
        <f>SUM(F86:F88)</f>
        <v>-310652</v>
      </c>
    </row>
    <row r="90" spans="1:6" ht="13.5" customHeight="1" thickTop="1" x14ac:dyDescent="0.2">
      <c r="A90" s="352"/>
      <c r="B90" s="293"/>
      <c r="C90" s="350"/>
      <c r="D90" s="128"/>
      <c r="E90" s="127"/>
      <c r="F90" s="128"/>
    </row>
  </sheetData>
  <mergeCells count="29">
    <mergeCell ref="A1:F1"/>
    <mergeCell ref="A2:F2"/>
    <mergeCell ref="A3:F3"/>
    <mergeCell ref="A13:F13"/>
    <mergeCell ref="A7:F7"/>
    <mergeCell ref="A8:F8"/>
    <mergeCell ref="A9:F9"/>
    <mergeCell ref="A11:F11"/>
    <mergeCell ref="A12:F12"/>
    <mergeCell ref="H48:J48"/>
    <mergeCell ref="A37:C37"/>
    <mergeCell ref="A39:F39"/>
    <mergeCell ref="A40:F40"/>
    <mergeCell ref="A42:F42"/>
    <mergeCell ref="A43:F43"/>
    <mergeCell ref="A44:F44"/>
    <mergeCell ref="A45:F45"/>
    <mergeCell ref="A41:F41"/>
    <mergeCell ref="B48:C48"/>
    <mergeCell ref="A78:F78"/>
    <mergeCell ref="A79:F79"/>
    <mergeCell ref="A80:F80"/>
    <mergeCell ref="A82:F82"/>
    <mergeCell ref="A14:F14"/>
    <mergeCell ref="A15:F15"/>
    <mergeCell ref="A16:F16"/>
    <mergeCell ref="A18:F18"/>
    <mergeCell ref="A17:F17"/>
    <mergeCell ref="B20:C20"/>
  </mergeCells>
  <pageMargins left="0.7" right="0.7" top="0.75" bottom="0.75" header="0.3" footer="0.3"/>
  <pageSetup scale="64" orientation="portrait" r:id="rId1"/>
  <rowBreaks count="1" manualBreakCount="1">
    <brk id="36" max="5" man="1"/>
  </rowBreaks>
  <ignoredErrors>
    <ignoredError sqref="B75 B61:B62 B64 G63 B66 G65 C75:D75 C61:D62 C64:D64 D63 C66:D66 D65 D68 D67 D73 G68 G67 G73 D74 G74 G75 G61:G62 G64 G66 D70 G7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Statements of Operations</vt:lpstr>
      <vt:lpstr>Balance Sheet</vt:lpstr>
      <vt:lpstr>Statement of Cash Flows</vt:lpstr>
      <vt:lpstr>Debt Schedule</vt:lpstr>
      <vt:lpstr>Operational Performance</vt:lpstr>
      <vt:lpstr>NON-GAAP Sales</vt:lpstr>
      <vt:lpstr>NON-GAAP COGS</vt:lpstr>
      <vt:lpstr>Reconciliation page</vt:lpstr>
      <vt:lpstr>'NON-GAAP COGS'!OLE_LINK1</vt:lpstr>
      <vt:lpstr>'NON-GAAP Sales'!OLE_LINK1</vt:lpstr>
      <vt:lpstr>'Balance Sheet'!Print_Area</vt:lpstr>
      <vt:lpstr>'Reconciliation page'!Print_Area</vt:lpstr>
      <vt:lpstr>'Statement of Cash Flows'!Print_Area</vt:lpstr>
      <vt:lpstr>'Statements of Operations'!Print_Area</vt:lpstr>
      <vt:lpstr>'Reconciliation page'!Print_Titles</vt:lpstr>
    </vt:vector>
  </TitlesOfParts>
  <Company>Arch Coal,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Hillebrand, Jackie</dc:creator>
  <cp:lastModifiedBy>Szczepan, Greg</cp:lastModifiedBy>
  <cp:lastPrinted>2018-02-13T02:49:29Z</cp:lastPrinted>
  <dcterms:created xsi:type="dcterms:W3CDTF">2015-01-20T16:57:13Z</dcterms:created>
  <dcterms:modified xsi:type="dcterms:W3CDTF">2018-02-13T02:50:15Z</dcterms:modified>
</cp:coreProperties>
</file>