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TL-ExternalAffairs\LLB\ER-Conference Call\2020\1Q20\"/>
    </mc:Choice>
  </mc:AlternateContent>
  <bookViews>
    <workbookView xWindow="240" yWindow="360" windowWidth="21075" windowHeight="9540" activeTab="2"/>
  </bookViews>
  <sheets>
    <sheet name="Income Statement" sheetId="1" r:id="rId1"/>
    <sheet name="Balance Sheet" sheetId="2" r:id="rId2"/>
    <sheet name="Statement of Cash Flows" sheetId="4" r:id="rId3"/>
    <sheet name="Debt Schedule" sheetId="5" r:id="rId4"/>
    <sheet name="Operational Performance" sheetId="8" r:id="rId5"/>
    <sheet name="NON-GAAP Sales" sheetId="9" r:id="rId6"/>
    <sheet name="NON-GAAP COGS" sheetId="10" r:id="rId7"/>
    <sheet name="Reconciliation page" sheetId="3" r:id="rId8"/>
  </sheets>
  <definedNames>
    <definedName name="OLE_LINK1" localSheetId="6">'NON-GAAP COGS'!$A$7</definedName>
    <definedName name="OLE_LINK1" localSheetId="5">'NON-GAAP Sales'!$A$10</definedName>
    <definedName name="_xlnm.Print_Area" localSheetId="1">'Balance Sheet'!$A$1:$C$52</definedName>
    <definedName name="_xlnm.Print_Area" localSheetId="0">'Income Statement'!$A$1:$F$55</definedName>
    <definedName name="_xlnm.Print_Area" localSheetId="7">'Reconciliation page'!$A$5:$F$48</definedName>
    <definedName name="_xlnm.Print_Area" localSheetId="2">'Statement of Cash Flows'!$A$1:$C$57</definedName>
    <definedName name="_xlnm.Print_Titles" localSheetId="7">'Reconciliation page'!$1:$4</definedName>
  </definedNames>
  <calcPr calcId="162913"/>
</workbook>
</file>

<file path=xl/calcChain.xml><?xml version="1.0" encoding="utf-8"?>
<calcChain xmlns="http://schemas.openxmlformats.org/spreadsheetml/2006/main">
  <c r="B40" i="4" l="1"/>
  <c r="B24" i="4" l="1"/>
  <c r="B23" i="4"/>
  <c r="B42" i="2"/>
  <c r="B33" i="2"/>
  <c r="B26" i="2"/>
  <c r="B19" i="2"/>
  <c r="B35" i="4" l="1"/>
  <c r="C35" i="4"/>
  <c r="C24" i="4"/>
  <c r="D25" i="9" l="1"/>
  <c r="B44" i="3" l="1"/>
  <c r="B38" i="3"/>
  <c r="B32" i="2" l="1"/>
  <c r="B20" i="10" l="1"/>
  <c r="B31" i="3" l="1"/>
  <c r="C31" i="3"/>
  <c r="B22" i="1"/>
  <c r="D38" i="9" l="1"/>
  <c r="C38" i="9"/>
  <c r="B38" i="9"/>
  <c r="F29" i="8"/>
  <c r="D12" i="5" l="1"/>
  <c r="D14" i="5" s="1"/>
  <c r="B13" i="4"/>
  <c r="B12" i="4"/>
  <c r="C13" i="4"/>
  <c r="C12" i="4"/>
  <c r="C42" i="2"/>
  <c r="C35" i="2"/>
  <c r="C43" i="2" s="1"/>
  <c r="C33" i="2"/>
  <c r="C32" i="2"/>
  <c r="C26" i="2"/>
  <c r="C19" i="2"/>
  <c r="B30" i="3" l="1"/>
  <c r="C30" i="3"/>
  <c r="E30" i="3"/>
  <c r="F30" i="3"/>
  <c r="F44" i="4" l="1"/>
  <c r="B35" i="2" l="1"/>
  <c r="H37" i="1"/>
  <c r="H30" i="1"/>
  <c r="H22" i="1"/>
  <c r="H23" i="1" s="1"/>
  <c r="H25" i="1" s="1"/>
  <c r="H32" i="1" s="1"/>
  <c r="H39" i="1" s="1"/>
  <c r="H42" i="1" s="1"/>
  <c r="H13" i="1"/>
  <c r="F47" i="3" l="1"/>
  <c r="E47" i="3"/>
  <c r="C47" i="3"/>
  <c r="B47" i="3"/>
  <c r="F37" i="3"/>
  <c r="E37" i="3"/>
  <c r="C37" i="3"/>
  <c r="B37" i="3"/>
  <c r="F18" i="4" l="1"/>
  <c r="C20" i="10" l="1"/>
  <c r="D20" i="10"/>
  <c r="E20" i="10"/>
  <c r="B37" i="1" l="1"/>
  <c r="C46" i="10" l="1"/>
  <c r="D46" i="10"/>
  <c r="E46" i="10"/>
  <c r="B46" i="10"/>
  <c r="B33" i="10" l="1"/>
  <c r="C33" i="10"/>
  <c r="D33" i="10"/>
  <c r="E33" i="10"/>
  <c r="I19" i="1" l="1"/>
  <c r="B29" i="3" l="1"/>
  <c r="C29" i="3"/>
  <c r="E29" i="3"/>
  <c r="F29" i="3"/>
  <c r="F31" i="3"/>
  <c r="E31" i="3"/>
  <c r="G26" i="8" l="1"/>
  <c r="G25" i="8"/>
  <c r="G19" i="8"/>
  <c r="G18" i="8"/>
  <c r="D20" i="8" l="1"/>
  <c r="E26" i="8"/>
  <c r="E25" i="8"/>
  <c r="E27" i="8" s="1"/>
  <c r="E19" i="8"/>
  <c r="E18" i="8"/>
  <c r="E12" i="8"/>
  <c r="E11" i="8"/>
  <c r="E20" i="8" l="1"/>
  <c r="E13" i="8"/>
  <c r="C26" i="8"/>
  <c r="C25" i="8"/>
  <c r="C19" i="8"/>
  <c r="C18" i="8"/>
  <c r="C12" i="8"/>
  <c r="C11" i="8"/>
  <c r="C27" i="8" l="1"/>
  <c r="C20" i="8"/>
  <c r="C13" i="8"/>
  <c r="B20" i="8"/>
  <c r="G12" i="8"/>
  <c r="G11" i="8"/>
  <c r="I38" i="1" l="1"/>
  <c r="I40" i="1"/>
  <c r="I41" i="1"/>
  <c r="B37" i="10" l="1"/>
  <c r="C37" i="10"/>
  <c r="D37" i="10"/>
  <c r="I14" i="1" l="1"/>
  <c r="I15" i="1"/>
  <c r="I16" i="1"/>
  <c r="I17" i="1"/>
  <c r="I18" i="1"/>
  <c r="I24" i="1"/>
  <c r="I26" i="1"/>
  <c r="I27" i="1"/>
  <c r="I28" i="1"/>
  <c r="I29" i="1"/>
  <c r="I31" i="1"/>
  <c r="I33" i="1"/>
  <c r="I34" i="1"/>
  <c r="I35" i="1"/>
  <c r="I36" i="1"/>
  <c r="I10" i="1"/>
  <c r="I22" i="1"/>
  <c r="I13" i="1"/>
  <c r="E49" i="9" l="1"/>
  <c r="D49" i="9"/>
  <c r="C49" i="9"/>
  <c r="B49" i="9"/>
  <c r="E37" i="9"/>
  <c r="D37" i="9"/>
  <c r="C37" i="9"/>
  <c r="B37" i="9"/>
  <c r="C25" i="9"/>
  <c r="E25" i="9"/>
  <c r="B25" i="9"/>
  <c r="C50" i="10" l="1"/>
  <c r="D50" i="10"/>
  <c r="B50" i="10"/>
  <c r="C24" i="10"/>
  <c r="D24" i="10"/>
  <c r="B24" i="10"/>
  <c r="F45" i="4" l="1"/>
  <c r="F43" i="4"/>
  <c r="F42" i="4"/>
  <c r="F41" i="4"/>
  <c r="F40" i="4"/>
  <c r="F38" i="4"/>
  <c r="F33" i="4"/>
  <c r="F32" i="4"/>
  <c r="F31" i="4"/>
  <c r="F30" i="4"/>
  <c r="F29" i="4"/>
  <c r="F28" i="4"/>
  <c r="F24" i="4"/>
  <c r="F23" i="4"/>
  <c r="F22" i="4"/>
  <c r="F21" i="4"/>
  <c r="F20" i="4"/>
  <c r="F14" i="4"/>
  <c r="F15" i="4"/>
  <c r="F16" i="4"/>
  <c r="F17" i="4"/>
  <c r="F57" i="4"/>
  <c r="E57" i="4"/>
  <c r="E46" i="4"/>
  <c r="E35" i="4"/>
  <c r="E25" i="4"/>
  <c r="F46" i="4" l="1"/>
  <c r="F35" i="4"/>
  <c r="E48" i="4"/>
  <c r="E51" i="4" s="1"/>
  <c r="F13" i="4"/>
  <c r="F12" i="4"/>
  <c r="F33" i="3" l="1"/>
  <c r="E33" i="3"/>
  <c r="F32" i="3"/>
  <c r="E32" i="3"/>
  <c r="F28" i="3"/>
  <c r="E28" i="3"/>
  <c r="F27" i="3"/>
  <c r="E27" i="3"/>
  <c r="F26" i="3"/>
  <c r="E26" i="3"/>
  <c r="F24" i="3"/>
  <c r="E24" i="3"/>
  <c r="E37" i="1" l="1"/>
  <c r="I37" i="1" s="1"/>
  <c r="F37" i="1"/>
  <c r="F30" i="1"/>
  <c r="F25" i="3" s="1"/>
  <c r="E30" i="1"/>
  <c r="I30" i="1" s="1"/>
  <c r="F23" i="1"/>
  <c r="F25" i="1" s="1"/>
  <c r="E23" i="1"/>
  <c r="I23" i="1" s="1"/>
  <c r="E25" i="3" l="1"/>
  <c r="E25" i="1"/>
  <c r="I25" i="1" s="1"/>
  <c r="F32" i="1"/>
  <c r="F39" i="1" s="1"/>
  <c r="F42" i="1" s="1"/>
  <c r="E32" i="1" l="1"/>
  <c r="I32" i="1" s="1"/>
  <c r="F46" i="1"/>
  <c r="F23" i="3"/>
  <c r="F45" i="1"/>
  <c r="E39" i="1" l="1"/>
  <c r="I39" i="1" s="1"/>
  <c r="F35" i="3"/>
  <c r="F54" i="1" l="1"/>
  <c r="F40" i="3"/>
  <c r="E42" i="1"/>
  <c r="I42" i="1" l="1"/>
  <c r="E23" i="3"/>
  <c r="E35" i="3" s="1"/>
  <c r="E45" i="1"/>
  <c r="E46" i="1"/>
  <c r="B32" i="3"/>
  <c r="E54" i="1" l="1"/>
  <c r="E40" i="3"/>
  <c r="E49" i="10"/>
  <c r="D49" i="10"/>
  <c r="D51" i="10" s="1"/>
  <c r="C49" i="10"/>
  <c r="C51" i="10" s="1"/>
  <c r="B49" i="10"/>
  <c r="B51" i="10" s="1"/>
  <c r="F48" i="10"/>
  <c r="F47" i="10"/>
  <c r="F46" i="10"/>
  <c r="F45" i="10"/>
  <c r="F43" i="10"/>
  <c r="E23" i="10"/>
  <c r="D23" i="10"/>
  <c r="D25" i="10" s="1"/>
  <c r="C23" i="10"/>
  <c r="C25" i="10" s="1"/>
  <c r="B23" i="10"/>
  <c r="B25" i="10" s="1"/>
  <c r="F22" i="10"/>
  <c r="F21" i="10"/>
  <c r="F20" i="10"/>
  <c r="F19" i="10"/>
  <c r="F17" i="10"/>
  <c r="C36" i="10"/>
  <c r="C38" i="10" s="1"/>
  <c r="D36" i="10"/>
  <c r="D38" i="10" s="1"/>
  <c r="E36" i="10"/>
  <c r="B36" i="10"/>
  <c r="B38" i="10" s="1"/>
  <c r="F33" i="10"/>
  <c r="F34" i="10"/>
  <c r="F35" i="10"/>
  <c r="F32" i="10"/>
  <c r="F30" i="10"/>
  <c r="F48" i="9"/>
  <c r="F47" i="9"/>
  <c r="F46" i="9"/>
  <c r="D51" i="9"/>
  <c r="C51" i="9"/>
  <c r="B51" i="9"/>
  <c r="F44" i="9"/>
  <c r="F24" i="9"/>
  <c r="F23" i="9"/>
  <c r="F22" i="9"/>
  <c r="D27" i="9"/>
  <c r="C27" i="9"/>
  <c r="B27" i="9"/>
  <c r="F20" i="9"/>
  <c r="F36" i="9"/>
  <c r="F35" i="9"/>
  <c r="F34" i="9"/>
  <c r="C39" i="9"/>
  <c r="D39" i="9"/>
  <c r="B39" i="9"/>
  <c r="F32" i="9"/>
  <c r="F49" i="9" l="1"/>
  <c r="F37" i="9"/>
  <c r="F25" i="9"/>
  <c r="F49" i="10"/>
  <c r="F23" i="10"/>
  <c r="F36" i="10"/>
  <c r="A41" i="10" l="1"/>
  <c r="A28" i="10"/>
  <c r="A15" i="10"/>
  <c r="B54" i="4" l="1"/>
  <c r="C32" i="3" l="1"/>
  <c r="B57" i="4"/>
  <c r="C57" i="4"/>
  <c r="C37" i="1"/>
  <c r="F27" i="8" l="1"/>
  <c r="F20" i="8"/>
  <c r="F13" i="8"/>
  <c r="D27" i="8"/>
  <c r="D13" i="8"/>
  <c r="F34" i="8" l="1"/>
  <c r="G27" i="8"/>
  <c r="D29" i="8"/>
  <c r="D34" i="8" s="1"/>
  <c r="G13" i="8"/>
  <c r="G20" i="8"/>
  <c r="C33" i="3" l="1"/>
  <c r="B33" i="3"/>
  <c r="C28" i="3"/>
  <c r="B28" i="3"/>
  <c r="C27" i="3"/>
  <c r="B27" i="3"/>
  <c r="C26" i="3"/>
  <c r="B26" i="3"/>
  <c r="C24" i="3"/>
  <c r="B24" i="3"/>
  <c r="B27" i="8"/>
  <c r="B13" i="8"/>
  <c r="D20" i="5"/>
  <c r="C20" i="5"/>
  <c r="D19" i="5"/>
  <c r="C19" i="5"/>
  <c r="D17" i="5"/>
  <c r="C12" i="5"/>
  <c r="C14" i="5" s="1"/>
  <c r="C46" i="4"/>
  <c r="F57" i="2"/>
  <c r="F55" i="2"/>
  <c r="C51" i="2"/>
  <c r="B51" i="2"/>
  <c r="B43" i="2"/>
  <c r="C27" i="2"/>
  <c r="B27" i="2"/>
  <c r="C20" i="2"/>
  <c r="B20" i="2"/>
  <c r="C30" i="1"/>
  <c r="C25" i="3" s="1"/>
  <c r="B30" i="1"/>
  <c r="B25" i="3" s="1"/>
  <c r="C23" i="1"/>
  <c r="C25" i="1" s="1"/>
  <c r="B23" i="1"/>
  <c r="B25" i="1" s="1"/>
  <c r="D21" i="5" l="1"/>
  <c r="C28" i="2"/>
  <c r="B32" i="1"/>
  <c r="B39" i="1" s="1"/>
  <c r="B42" i="1" s="1"/>
  <c r="C32" i="1"/>
  <c r="C39" i="1" s="1"/>
  <c r="C42" i="1" s="1"/>
  <c r="C10" i="4" s="1"/>
  <c r="C21" i="5"/>
  <c r="D22" i="5"/>
  <c r="B46" i="4"/>
  <c r="B52" i="2"/>
  <c r="B28" i="2"/>
  <c r="C52" i="2"/>
  <c r="B29" i="8"/>
  <c r="B34" i="8" s="1"/>
  <c r="C17" i="5"/>
  <c r="C22" i="5" s="1"/>
  <c r="B10" i="4" l="1"/>
  <c r="F56" i="2"/>
  <c r="F10" i="4"/>
  <c r="F25" i="4" s="1"/>
  <c r="F48" i="4" s="1"/>
  <c r="F51" i="4" s="1"/>
  <c r="B45" i="1"/>
  <c r="B46" i="1"/>
  <c r="F59" i="2"/>
  <c r="B23" i="3"/>
  <c r="C46" i="1"/>
  <c r="C25" i="4"/>
  <c r="C23" i="3"/>
  <c r="C45" i="1"/>
  <c r="B25" i="4" l="1"/>
  <c r="C48" i="4"/>
  <c r="C51" i="4" s="1"/>
  <c r="B35" i="3"/>
  <c r="C35" i="3"/>
  <c r="B48" i="4" l="1"/>
  <c r="B51" i="4" s="1"/>
  <c r="C54" i="1"/>
  <c r="C40" i="3"/>
  <c r="B54" i="1"/>
  <c r="B40" i="3"/>
</calcChain>
</file>

<file path=xl/sharedStrings.xml><?xml version="1.0" encoding="utf-8"?>
<sst xmlns="http://schemas.openxmlformats.org/spreadsheetml/2006/main" count="340" uniqueCount="205">
  <si>
    <t>Arch Coal, Inc. and Subsidiaries</t>
  </si>
  <si>
    <t>(In thousands, except per share data)</t>
  </si>
  <si>
    <t>(Unaudited)</t>
  </si>
  <si>
    <t>Revenues</t>
  </si>
  <si>
    <t>Costs, expenses and other operating</t>
  </si>
  <si>
    <t>Depreciation, depletion and amortization</t>
  </si>
  <si>
    <t>Change in fair value of coal derivatives and coal trading activities, net</t>
  </si>
  <si>
    <t>Selling, general and administrative expenses</t>
  </si>
  <si>
    <t>Interest expense, net</t>
  </si>
  <si>
    <t>Interest expense</t>
  </si>
  <si>
    <t>Interest and investment income</t>
  </si>
  <si>
    <t>Diluted weighted average shares outstanding</t>
  </si>
  <si>
    <t>Condensed Consolidated Balance Sheets</t>
  </si>
  <si>
    <t>(In thousands)</t>
  </si>
  <si>
    <t>Assets</t>
  </si>
  <si>
    <t>Current assets</t>
  </si>
  <si>
    <t>Cash and cash equivalents</t>
  </si>
  <si>
    <t>Short term investments</t>
  </si>
  <si>
    <t>Trade accounts receivable</t>
  </si>
  <si>
    <t>Other receivables</t>
  </si>
  <si>
    <t>Inventories</t>
  </si>
  <si>
    <t>Prepaid royalties</t>
  </si>
  <si>
    <t>Coal derivative assets</t>
  </si>
  <si>
    <t>Deferred income taxes</t>
  </si>
  <si>
    <t>Other current assets</t>
  </si>
  <si>
    <t>Total current assets</t>
  </si>
  <si>
    <t>Property, plant and equipment, net</t>
  </si>
  <si>
    <t>Other assets</t>
  </si>
  <si>
    <t>Equity investments</t>
  </si>
  <si>
    <t>Other noncurrent assets</t>
  </si>
  <si>
    <t>Total other assets</t>
  </si>
  <si>
    <t>Total assets</t>
  </si>
  <si>
    <t>Accounts payable</t>
  </si>
  <si>
    <t>Accrued expenses and other current liabilities</t>
  </si>
  <si>
    <t>Current maturities of debt</t>
  </si>
  <si>
    <t>Total current liabilities</t>
  </si>
  <si>
    <t>Long-term debt</t>
  </si>
  <si>
    <t>Asset retirement obligations</t>
  </si>
  <si>
    <t>Accrued pension benefits</t>
  </si>
  <si>
    <t>Accrued postretirement benefits other than pension</t>
  </si>
  <si>
    <t>Accrued workers’ compensation</t>
  </si>
  <si>
    <t>Other noncurrent liabilities</t>
  </si>
  <si>
    <t>Common Stock</t>
  </si>
  <si>
    <t>Paid-in capital</t>
  </si>
  <si>
    <t>Reconciliation of Non-GAAP Measures</t>
  </si>
  <si>
    <t>Included in the accompanying release, we have disclosed certain non-GAAP measures as defined by Regulation G.</t>
  </si>
  <si>
    <t>Other</t>
  </si>
  <si>
    <t>Dividends paid</t>
  </si>
  <si>
    <t>Debt financing costs</t>
  </si>
  <si>
    <t>Financing activities</t>
  </si>
  <si>
    <t>Investments in and advances to affiliates, net</t>
  </si>
  <si>
    <t>Proceeds from sales of short term investments</t>
  </si>
  <si>
    <t>Purchases of short term investments</t>
  </si>
  <si>
    <t>Capital expenditures</t>
  </si>
  <si>
    <t>Investing activities</t>
  </si>
  <si>
    <t>Accounts payable, accrued expenses and other current liabilities</t>
  </si>
  <si>
    <t>Receivables</t>
  </si>
  <si>
    <t>Changes in:</t>
  </si>
  <si>
    <t>Amortization relating to financing activities</t>
  </si>
  <si>
    <t>Employee stock-based compensation expense</t>
  </si>
  <si>
    <t>Operating activities</t>
  </si>
  <si>
    <t>Condensed Consolidated Statements of Cash Flows</t>
  </si>
  <si>
    <t xml:space="preserve">December 31, </t>
  </si>
  <si>
    <t>Schedule of Consolidated Debt</t>
  </si>
  <si>
    <t>December 31,</t>
  </si>
  <si>
    <t>Less: current maturities of debt</t>
  </si>
  <si>
    <t>Calculation of net debt</t>
  </si>
  <si>
    <t>Less liquid assets:</t>
  </si>
  <si>
    <t>Net debt</t>
  </si>
  <si>
    <t>Reorganization items, net</t>
  </si>
  <si>
    <t>Debt issuance costs</t>
  </si>
  <si>
    <t>Total debt (excluding debt issuance costs)</t>
  </si>
  <si>
    <t xml:space="preserve">  Current liabilities</t>
  </si>
  <si>
    <t xml:space="preserve">Total liabilities </t>
  </si>
  <si>
    <t>Minimum royalty payments</t>
  </si>
  <si>
    <t>Accretion on asset retirement obligations</t>
  </si>
  <si>
    <t>Basic weighted average shares outstanding</t>
  </si>
  <si>
    <t>Amortization of sales contracts, net</t>
  </si>
  <si>
    <t xml:space="preserve">considered in isolation, nor as an alternative to net income, income from operations, cash flows from operations or as a measure of our profitability, </t>
  </si>
  <si>
    <t>Operational Performance</t>
  </si>
  <si>
    <t>(In millions, except per ton data)</t>
  </si>
  <si>
    <t>Powder River Basin</t>
  </si>
  <si>
    <t>Tons Sold</t>
  </si>
  <si>
    <t>Segment Sales</t>
  </si>
  <si>
    <t>Segment Cash Cost of Sales</t>
  </si>
  <si>
    <t>Segment Cash Margin</t>
  </si>
  <si>
    <t>Metallurgical</t>
  </si>
  <si>
    <t>Other Thermal</t>
  </si>
  <si>
    <t>Total Segment Cash Margin</t>
  </si>
  <si>
    <t xml:space="preserve">Stockholders' equity </t>
  </si>
  <si>
    <t xml:space="preserve">Liabilities and Stockholders' Equity </t>
  </si>
  <si>
    <t>Income taxes, net</t>
  </si>
  <si>
    <t xml:space="preserve">Total stockholders’ equity </t>
  </si>
  <si>
    <t xml:space="preserve">Total liabilities and stockholders’ equity </t>
  </si>
  <si>
    <t xml:space="preserve">performance of its segments and allocate resources to the segments.  Furthermore, analogous measures are used by industry analysts and investors </t>
  </si>
  <si>
    <t>Retained earnings</t>
  </si>
  <si>
    <t>Treasury stock, at cost</t>
  </si>
  <si>
    <t>Purchases of treasury stock</t>
  </si>
  <si>
    <t>Weighted average shares outstanding</t>
  </si>
  <si>
    <t>Dividends declared per common share</t>
  </si>
  <si>
    <t>Beg RE</t>
  </si>
  <si>
    <t>CY Net Income</t>
  </si>
  <si>
    <t xml:space="preserve">Dividends </t>
  </si>
  <si>
    <t>Dividends accrued (RSU's)</t>
  </si>
  <si>
    <t>indicative of the Company's core operating performance.</t>
  </si>
  <si>
    <t xml:space="preserve">Basic EPS </t>
  </si>
  <si>
    <t xml:space="preserve">Diluted EPS </t>
  </si>
  <si>
    <t>Reconciliation of NON-GAAP Measures</t>
  </si>
  <si>
    <t>Idle and Other</t>
  </si>
  <si>
    <t>Consolidated</t>
  </si>
  <si>
    <t>Less:  Adjustments to reconcile to Non-GAAP Segment coal sales revenue</t>
  </si>
  <si>
    <t>Coal risk management derivative settlements classified in "other income"</t>
  </si>
  <si>
    <t>Coal sales revenues from idled or otherwise disposed operations not included in segments</t>
  </si>
  <si>
    <t>Transportation costs</t>
  </si>
  <si>
    <t>Non-GAAP Segment coal sales revenues</t>
  </si>
  <si>
    <t>Tons sold</t>
  </si>
  <si>
    <t>Coal sales per ton sold</t>
  </si>
  <si>
    <t xml:space="preserve">Less:  Adjustments to reconcile to Non-GAAP Segment cash cost of coal sales </t>
  </si>
  <si>
    <t>Diesel fuel risk management derivative settlements classified in "other income"</t>
  </si>
  <si>
    <t>Cost of coal sales from idled or otherwise disposed operations not included in segments</t>
  </si>
  <si>
    <t>Other (operating overhead, certain actuarial, etc.)</t>
  </si>
  <si>
    <t>Non-GAAP Segment cash cost of coal sales</t>
  </si>
  <si>
    <t>Cash cost per ton sold</t>
  </si>
  <si>
    <t>The following reconciles these items to the most directly comparable GAAP measure.</t>
  </si>
  <si>
    <t xml:space="preserve">Non-GAAP Segment coal sales per ton sold   </t>
  </si>
  <si>
    <t xml:space="preserve">Non-GAAP Segment coal sales per ton sold is calculated as segment coal sales revenues divided by segment tons sold. Segment coal sales revenues are adjusted for </t>
  </si>
  <si>
    <t>Non-GAAP Segment cash cost per ton sold</t>
  </si>
  <si>
    <t xml:space="preserve">Non-GAAP Segment cash cost per ton sold is calculated as segment cash cost of coal sales divided by segment tons sold. Segment cash cost of coal sales is </t>
  </si>
  <si>
    <t xml:space="preserve">adjusted for transportation costs, and may be adjusted for other items that, due to generally accepted accounting principles, are classified in “other income” on the </t>
  </si>
  <si>
    <t>Restricted cash</t>
  </si>
  <si>
    <t>Payments on term loan due 2024</t>
  </si>
  <si>
    <t>Non-service related pension and postretirement benefit costs</t>
  </si>
  <si>
    <t>Cash and cash equivalents, including restricted cash, end of period</t>
  </si>
  <si>
    <t>Adjusted EBITDA</t>
  </si>
  <si>
    <t xml:space="preserve">Adjusted EBITDA is defined as net income attributable to the Company before the effect of net interest expense, income taxes, depreciation, </t>
  </si>
  <si>
    <t>depletion and amortization, accretion on asset retirement obligations, amortization of sales contracts and nonoperating expenses.</t>
  </si>
  <si>
    <t>Adjusted EBITDA may also be adjusted for items that may not reflect the trend of future results by excluding transactions that are not</t>
  </si>
  <si>
    <t>Adjusted EBITDA is not a measure of financial performance in accordance with generally accepted accounting principles, and items excluded</t>
  </si>
  <si>
    <t xml:space="preserve">from Adjusted EBITDA are significant in understanding and assessing our financial condition. Therefore, Adjusted EBITDA should not be </t>
  </si>
  <si>
    <t xml:space="preserve">liquidity or performance under generally accepted accounting principles.  The Company uses adjusted EBITDA to measure the operating </t>
  </si>
  <si>
    <t>to evaluate our operating performance. Investors should be aware that our presentation of Adjusted EBITDA may not be comparable to similarly titled</t>
  </si>
  <si>
    <t>measures used by other companies. The table below shows how we calculate Adjusted EBITDA.</t>
  </si>
  <si>
    <t>Proceeds from disposals and divestitures</t>
  </si>
  <si>
    <t xml:space="preserve">Three Months </t>
  </si>
  <si>
    <t>(A) Adjusted EBITDA is defined and reconciled under "Reconciliation of Non-GAAP Measures" later in this release.</t>
  </si>
  <si>
    <t>Short-term investments</t>
  </si>
  <si>
    <t xml:space="preserve">transportation costs, and may be adjusted for other items that, due to generally accepted accounting principles, are classified in “other income” on the consolidated </t>
  </si>
  <si>
    <t xml:space="preserve">generally accepted accounting principles. We believe segment coal sales per ton sold provides useful information to investors as it better reflects our revenue for the </t>
  </si>
  <si>
    <t xml:space="preserve">quality of coal sold and our operating results by including all income from coal sales. The adjustments made to arrive at these measures are significant in understanding </t>
  </si>
  <si>
    <t xml:space="preserve">and assessing our financial condition. Therefore, segment coal sales revenues should not be considered in isolation, nor as an alternative to coal sales revenues under </t>
  </si>
  <si>
    <t>generally accepted accounting principles.</t>
  </si>
  <si>
    <t>GAAP Revenues in the consolidated income statements</t>
  </si>
  <si>
    <t xml:space="preserve">GAAP Revenues in the consolidated income statements </t>
  </si>
  <si>
    <t xml:space="preserve">income statements, but relate to price protection on the sale of coal. Segment coal sales per ton sold is not a measure of financial performance in accordance with </t>
  </si>
  <si>
    <t xml:space="preserve">consolidated income statements, but relate directly to the costs incurred to produce coal. Segment cash cost per ton sold is not a measure of financial performance in </t>
  </si>
  <si>
    <t xml:space="preserve">accordance with generally accepted accounting principles. We believe segment cash cost per ton sold better reflects our controllable costs and our operating results by </t>
  </si>
  <si>
    <t xml:space="preserve">including all costs incurred to produce coal. The adjustments made to arrive at these measures are significant in understanding and assessing our financial condition. </t>
  </si>
  <si>
    <t>Therefore, segment cash cost of coal sales should not be considered in isolation, nor as an alternative to cost of sales under generally accepted accounting principles.</t>
  </si>
  <si>
    <t xml:space="preserve">GAAP Cost of sales in the consolidated income statements </t>
  </si>
  <si>
    <t>Provision for (benefit from) income taxes</t>
  </si>
  <si>
    <t>Nonoperating (expenses) income</t>
  </si>
  <si>
    <t>Cash used in investing activities</t>
  </si>
  <si>
    <t>Costs related to proposed joint venture with Peabody Energy</t>
  </si>
  <si>
    <t xml:space="preserve">Adjusted EBITDA (A) </t>
  </si>
  <si>
    <t>Cash and cash equivalents, beginning of period</t>
  </si>
  <si>
    <t>Cash and cash equivalents, end of period</t>
  </si>
  <si>
    <t>Cost of sales (exclusive of items shown separately below)</t>
  </si>
  <si>
    <t>(In thousands, except per ton data)</t>
  </si>
  <si>
    <t>EBITDA from idled or otherwise disposed operations</t>
  </si>
  <si>
    <t>Segment Adjusted EBITDA from coal operations</t>
  </si>
  <si>
    <t xml:space="preserve">Segment Adjusted EBITDA </t>
  </si>
  <si>
    <t>Total Segment Adjusted EBITDA</t>
  </si>
  <si>
    <t xml:space="preserve">Twelve Months Ended December 31, </t>
  </si>
  <si>
    <t>Quarter ended December 31, 2019</t>
  </si>
  <si>
    <t>9/30/2019 YTD</t>
  </si>
  <si>
    <t>Income (loss) before income taxes</t>
  </si>
  <si>
    <t>Net income (loss)</t>
  </si>
  <si>
    <t>Net income (loss) per common share</t>
  </si>
  <si>
    <t>Income (loss) before nonoperating expenses</t>
  </si>
  <si>
    <t>Payments for taxes related to net share settlement of equity awards</t>
  </si>
  <si>
    <t>Income (loss) from operations</t>
  </si>
  <si>
    <t>Decrease in cash and cash equivalents</t>
  </si>
  <si>
    <t>Condensed Consolidated Statements of Operations</t>
  </si>
  <si>
    <t>Three Months  Ended           December 31, 2019</t>
  </si>
  <si>
    <t xml:space="preserve">Three Months Ended March 31, </t>
  </si>
  <si>
    <t>March 31,</t>
  </si>
  <si>
    <t>Three Months Ended March 31,</t>
  </si>
  <si>
    <t>Three Months  Ended           March 31, 2020</t>
  </si>
  <si>
    <t>Three Months  Ended           March 31, 2019</t>
  </si>
  <si>
    <t>Quarter ended March 31, 2020</t>
  </si>
  <si>
    <t>Quarter ended March 31, 2019</t>
  </si>
  <si>
    <t>Other operating income, net</t>
  </si>
  <si>
    <t>Term loan due 2024 ($291.0 million face value)</t>
  </si>
  <si>
    <t>Severance costs related to voluntary separation plan</t>
  </si>
  <si>
    <t>Cash provided by (used in) financing activities</t>
  </si>
  <si>
    <t>Three Months</t>
  </si>
  <si>
    <t>Ended March 31, 2020</t>
  </si>
  <si>
    <t>Ended June 30, 2020</t>
  </si>
  <si>
    <t>Gain on disposals and divestitures</t>
  </si>
  <si>
    <t>Cash provided by (used in) operating activities</t>
  </si>
  <si>
    <t>Gain on property insurance recovery related to Mountain Laurel longwall</t>
  </si>
  <si>
    <t>Accumulated other comprehensive income (loss)</t>
  </si>
  <si>
    <t>Adjustments to reconcile to cash from operating activities:</t>
  </si>
  <si>
    <t>Proceeds from equipment financing</t>
  </si>
  <si>
    <t>Net payments on other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</si>
</sst>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_);_(&quot;$&quot;* \(#,##0\);_(&quot;$&quot;* &quot;—&quot;_);_(@_)"/>
    <numFmt numFmtId="166" formatCode="_(* #,##0_);_(* \(#,##0\);_(* &quot;-&quot;??_);_(@_)"/>
    <numFmt numFmtId="167" formatCode="_(#,##0_);_(\(#,##0\);_(&quot;—&quot;_);_(@_)"/>
    <numFmt numFmtId="168" formatCode="#,##0_)%;\(#,##0\)%;&quot;—&quot;\%;_(@_)"/>
    <numFmt numFmtId="169" formatCode="_(#,##0_)_%;_(\(#,##0\)_%;_(&quot;—&quot;_);_(@_)"/>
    <numFmt numFmtId="170" formatCode="_(* #,##0.0_);_(* \(#,##0.0\);_(* &quot;-&quot;??_);_(@_)"/>
    <numFmt numFmtId="171" formatCode="_(&quot;$&quot;* #,##0.0_);_(&quot;$&quot;* \(#,##0.0\);_(&quot;$&quot;* &quot;-&quot;??_);_(@_)"/>
    <numFmt numFmtId="172" formatCode="#,##0.00;\(#,##0.00\)"/>
  </numFmts>
  <fonts count="28" x14ac:knownFonts="1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6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172" fontId="18" fillId="0" borderId="0"/>
    <xf numFmtId="0" fontId="3" fillId="0" borderId="0"/>
    <xf numFmtId="0" fontId="17" fillId="0" borderId="0"/>
    <xf numFmtId="9" fontId="17" fillId="0" borderId="0" applyFont="0" applyFill="0" applyBorder="0" applyAlignment="0" applyProtection="0"/>
    <xf numFmtId="0" fontId="2" fillId="0" borderId="0"/>
    <xf numFmtId="0" fontId="2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1" fillId="0" borderId="0"/>
    <xf numFmtId="0" fontId="1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18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9" fontId="27" fillId="0" borderId="0" applyFont="0" applyFill="0" applyBorder="0" applyAlignment="0" applyProtection="0"/>
  </cellStyleXfs>
  <cellXfs count="278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 indent="1"/>
    </xf>
    <xf numFmtId="167" fontId="7" fillId="0" borderId="0" xfId="0" applyNumberFormat="1" applyFont="1" applyAlignment="1"/>
    <xf numFmtId="0" fontId="7" fillId="0" borderId="0" xfId="0" applyFont="1" applyAlignment="1">
      <alignment wrapText="1" indent="2"/>
    </xf>
    <xf numFmtId="0" fontId="7" fillId="0" borderId="0" xfId="0" applyFont="1" applyAlignment="1">
      <alignment wrapText="1"/>
    </xf>
    <xf numFmtId="167" fontId="7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wrapText="1" indent="3"/>
    </xf>
    <xf numFmtId="167" fontId="7" fillId="0" borderId="0" xfId="0" applyNumberFormat="1" applyFont="1" applyFill="1" applyBorder="1" applyAlignment="1"/>
    <xf numFmtId="167" fontId="7" fillId="0" borderId="0" xfId="0" applyNumberFormat="1" applyFont="1" applyFill="1" applyAlignment="1">
      <alignment horizontal="left"/>
    </xf>
    <xf numFmtId="0" fontId="0" fillId="0" borderId="0" xfId="0" applyAlignment="1">
      <alignment wrapText="1"/>
    </xf>
    <xf numFmtId="0" fontId="12" fillId="0" borderId="0" xfId="0" applyFont="1" applyAlignment="1">
      <alignment wrapText="1" inden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Alignment="1">
      <alignment horizontal="left"/>
    </xf>
    <xf numFmtId="0" fontId="15" fillId="0" borderId="1" xfId="0" applyFont="1" applyBorder="1" applyAlignment="1">
      <alignment horizontal="center" wrapText="1"/>
    </xf>
    <xf numFmtId="0" fontId="14" fillId="0" borderId="0" xfId="0" applyFont="1" applyAlignment="1">
      <alignment wrapText="1"/>
    </xf>
    <xf numFmtId="166" fontId="0" fillId="0" borderId="0" xfId="0" applyNumberFormat="1" applyAlignment="1">
      <alignment wrapText="1"/>
    </xf>
    <xf numFmtId="0" fontId="14" fillId="0" borderId="0" xfId="0" applyFont="1" applyFill="1" applyAlignment="1">
      <alignment horizontal="left"/>
    </xf>
    <xf numFmtId="165" fontId="14" fillId="0" borderId="0" xfId="0" applyNumberFormat="1" applyFont="1" applyFill="1" applyAlignment="1"/>
    <xf numFmtId="0" fontId="0" fillId="0" borderId="0" xfId="0" applyFill="1" applyAlignment="1">
      <alignment wrapText="1"/>
    </xf>
    <xf numFmtId="165" fontId="14" fillId="0" borderId="5" xfId="0" applyNumberFormat="1" applyFont="1" applyFill="1" applyBorder="1" applyAlignment="1"/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0" fillId="0" borderId="0" xfId="0" applyFont="1" applyFill="1" applyAlignment="1">
      <alignment wrapText="1"/>
    </xf>
    <xf numFmtId="0" fontId="7" fillId="0" borderId="0" xfId="0" applyFont="1" applyFill="1" applyAlignment="1">
      <alignment wrapText="1" indent="1"/>
    </xf>
    <xf numFmtId="166" fontId="7" fillId="0" borderId="1" xfId="1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166" fontId="7" fillId="0" borderId="2" xfId="1" applyNumberFormat="1" applyFont="1" applyFill="1" applyBorder="1" applyAlignment="1">
      <alignment horizontal="right"/>
    </xf>
    <xf numFmtId="0" fontId="7" fillId="0" borderId="0" xfId="0" applyFont="1" applyFill="1" applyAlignment="1">
      <alignment wrapText="1" indent="2"/>
    </xf>
    <xf numFmtId="0" fontId="10" fillId="0" borderId="0" xfId="0" applyFont="1" applyFill="1" applyAlignment="1">
      <alignment horizontal="left"/>
    </xf>
    <xf numFmtId="0" fontId="7" fillId="0" borderId="0" xfId="0" applyFont="1" applyFill="1" applyAlignment="1">
      <alignment wrapText="1"/>
    </xf>
    <xf numFmtId="166" fontId="7" fillId="0" borderId="0" xfId="1" applyNumberFormat="1" applyFont="1" applyFill="1" applyBorder="1" applyAlignment="1">
      <alignment horizontal="right"/>
    </xf>
    <xf numFmtId="0" fontId="10" fillId="0" borderId="0" xfId="0" applyFont="1" applyFill="1" applyAlignment="1">
      <alignment wrapText="1" indent="2"/>
    </xf>
    <xf numFmtId="164" fontId="7" fillId="0" borderId="4" xfId="2" applyNumberFormat="1" applyFont="1" applyFill="1" applyBorder="1" applyAlignment="1">
      <alignment horizontal="right"/>
    </xf>
    <xf numFmtId="165" fontId="7" fillId="0" borderId="4" xfId="0" applyNumberFormat="1" applyFont="1" applyFill="1" applyBorder="1" applyAlignment="1"/>
    <xf numFmtId="0" fontId="7" fillId="0" borderId="0" xfId="0" applyFont="1" applyFill="1" applyAlignment="1">
      <alignment horizontal="left"/>
    </xf>
    <xf numFmtId="168" fontId="7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164" fontId="7" fillId="0" borderId="0" xfId="2" applyNumberFormat="1" applyFont="1" applyFill="1" applyAlignment="1"/>
    <xf numFmtId="166" fontId="7" fillId="0" borderId="0" xfId="1" applyNumberFormat="1" applyFont="1" applyFill="1" applyAlignment="1">
      <alignment horizontal="left"/>
    </xf>
    <xf numFmtId="166" fontId="7" fillId="0" borderId="0" xfId="1" applyNumberFormat="1" applyFont="1" applyFill="1" applyAlignment="1"/>
    <xf numFmtId="167" fontId="7" fillId="0" borderId="1" xfId="0" applyNumberFormat="1" applyFont="1" applyFill="1" applyBorder="1" applyAlignment="1"/>
    <xf numFmtId="166" fontId="7" fillId="0" borderId="1" xfId="1" applyNumberFormat="1" applyFont="1" applyFill="1" applyBorder="1" applyAlignment="1"/>
    <xf numFmtId="164" fontId="7" fillId="0" borderId="4" xfId="2" applyNumberFormat="1" applyFont="1" applyFill="1" applyBorder="1" applyAlignment="1"/>
    <xf numFmtId="166" fontId="7" fillId="0" borderId="2" xfId="1" applyNumberFormat="1" applyFont="1" applyFill="1" applyBorder="1" applyAlignment="1"/>
    <xf numFmtId="167" fontId="7" fillId="0" borderId="3" xfId="0" applyNumberFormat="1" applyFont="1" applyFill="1" applyBorder="1" applyAlignment="1"/>
    <xf numFmtId="165" fontId="7" fillId="0" borderId="0" xfId="0" applyNumberFormat="1" applyFont="1" applyFill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0" fontId="7" fillId="0" borderId="0" xfId="0" applyFont="1" applyAlignment="1">
      <alignment wrapText="1"/>
    </xf>
    <xf numFmtId="166" fontId="7" fillId="0" borderId="0" xfId="0" applyNumberFormat="1" applyFont="1" applyAlignment="1">
      <alignment horizontal="left"/>
    </xf>
    <xf numFmtId="43" fontId="0" fillId="0" borderId="0" xfId="1" applyFont="1" applyAlignment="1">
      <alignment wrapText="1"/>
    </xf>
    <xf numFmtId="43" fontId="4" fillId="0" borderId="0" xfId="1" applyFont="1" applyAlignment="1">
      <alignment wrapText="1"/>
    </xf>
    <xf numFmtId="0" fontId="14" fillId="0" borderId="0" xfId="0" applyFont="1" applyFill="1" applyAlignment="1">
      <alignment horizontal="left"/>
    </xf>
    <xf numFmtId="166" fontId="7" fillId="0" borderId="0" xfId="1" applyNumberFormat="1" applyFont="1" applyFill="1" applyBorder="1" applyAlignment="1"/>
    <xf numFmtId="166" fontId="0" fillId="0" borderId="0" xfId="1" applyNumberFormat="1" applyFont="1" applyAlignment="1">
      <alignment wrapText="1"/>
    </xf>
    <xf numFmtId="169" fontId="7" fillId="0" borderId="0" xfId="0" applyNumberFormat="1" applyFont="1" applyFill="1" applyAlignment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0" fillId="0" borderId="0" xfId="0" quotePrefix="1" applyFont="1" applyAlignment="1">
      <alignment wrapText="1"/>
    </xf>
    <xf numFmtId="0" fontId="7" fillId="0" borderId="0" xfId="0" applyFont="1" applyAlignment="1"/>
    <xf numFmtId="0" fontId="11" fillId="0" borderId="0" xfId="0" applyFont="1" applyBorder="1" applyAlignment="1">
      <alignment horizontal="center"/>
    </xf>
    <xf numFmtId="0" fontId="14" fillId="0" borderId="0" xfId="0" applyFont="1" applyFill="1" applyAlignment="1"/>
    <xf numFmtId="0" fontId="15" fillId="0" borderId="0" xfId="0" applyFont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0" fillId="0" borderId="0" xfId="0" applyAlignment="1">
      <alignment wrapText="1"/>
    </xf>
    <xf numFmtId="166" fontId="7" fillId="0" borderId="0" xfId="1" applyNumberFormat="1" applyFont="1" applyFill="1" applyBorder="1" applyAlignment="1">
      <alignment horizontal="left"/>
    </xf>
    <xf numFmtId="43" fontId="0" fillId="0" borderId="0" xfId="0" applyNumberFormat="1" applyAlignment="1">
      <alignment wrapText="1"/>
    </xf>
    <xf numFmtId="0" fontId="0" fillId="0" borderId="0" xfId="0" applyFill="1" applyAlignment="1"/>
    <xf numFmtId="0" fontId="9" fillId="0" borderId="0" xfId="0" applyFont="1" applyBorder="1" applyAlignment="1">
      <alignment horizontal="center" wrapText="1"/>
    </xf>
    <xf numFmtId="164" fontId="7" fillId="0" borderId="0" xfId="2" applyNumberFormat="1" applyFont="1" applyFill="1" applyBorder="1" applyAlignment="1"/>
    <xf numFmtId="0" fontId="0" fillId="0" borderId="0" xfId="0" applyFill="1" applyBorder="1" applyAlignment="1">
      <alignment wrapText="1"/>
    </xf>
    <xf numFmtId="0" fontId="8" fillId="0" borderId="1" xfId="0" applyFont="1" applyBorder="1" applyAlignment="1">
      <alignment horizontal="center" wrapText="1"/>
    </xf>
    <xf numFmtId="164" fontId="7" fillId="0" borderId="0" xfId="2" applyNumberFormat="1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quotePrefix="1" applyFont="1" applyBorder="1" applyAlignment="1">
      <alignment horizontal="center" wrapText="1"/>
    </xf>
    <xf numFmtId="165" fontId="7" fillId="0" borderId="0" xfId="0" applyNumberFormat="1" applyFont="1" applyFill="1" applyBorder="1" applyAlignment="1"/>
    <xf numFmtId="166" fontId="7" fillId="0" borderId="3" xfId="1" applyNumberFormat="1" applyFont="1" applyFill="1" applyBorder="1" applyAlignment="1"/>
    <xf numFmtId="0" fontId="16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/>
    </xf>
    <xf numFmtId="164" fontId="14" fillId="0" borderId="0" xfId="2" applyNumberFormat="1" applyFont="1" applyFill="1" applyBorder="1" applyAlignment="1">
      <alignment horizontal="left"/>
    </xf>
    <xf numFmtId="166" fontId="14" fillId="0" borderId="0" xfId="1" applyNumberFormat="1" applyFont="1" applyFill="1" applyBorder="1" applyAlignment="1"/>
    <xf numFmtId="166" fontId="14" fillId="0" borderId="1" xfId="1" applyNumberFormat="1" applyFont="1" applyFill="1" applyBorder="1" applyAlignment="1"/>
    <xf numFmtId="165" fontId="14" fillId="0" borderId="0" xfId="0" applyNumberFormat="1" applyFont="1" applyFill="1" applyBorder="1" applyAlignment="1"/>
    <xf numFmtId="167" fontId="14" fillId="0" borderId="0" xfId="0" applyNumberFormat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166" fontId="7" fillId="0" borderId="0" xfId="24" applyNumberFormat="1" applyFont="1" applyFill="1" applyBorder="1" applyAlignment="1"/>
    <xf numFmtId="171" fontId="7" fillId="0" borderId="0" xfId="25" applyNumberFormat="1" applyFont="1" applyFill="1" applyBorder="1" applyAlignment="1"/>
    <xf numFmtId="170" fontId="7" fillId="0" borderId="1" xfId="24" applyNumberFormat="1" applyFont="1" applyFill="1" applyBorder="1" applyAlignment="1"/>
    <xf numFmtId="170" fontId="7" fillId="0" borderId="0" xfId="24" applyNumberFormat="1" applyFont="1" applyFill="1" applyBorder="1" applyAlignment="1"/>
    <xf numFmtId="0" fontId="0" fillId="0" borderId="0" xfId="0" applyAlignment="1">
      <alignment wrapText="1"/>
    </xf>
    <xf numFmtId="0" fontId="7" fillId="0" borderId="0" xfId="0" applyFont="1" applyFill="1" applyAlignment="1">
      <alignment horizontal="left"/>
    </xf>
    <xf numFmtId="0" fontId="0" fillId="0" borderId="0" xfId="0" applyAlignment="1">
      <alignment wrapText="1"/>
    </xf>
    <xf numFmtId="44" fontId="7" fillId="0" borderId="4" xfId="2" applyFont="1" applyFill="1" applyBorder="1" applyAlignment="1">
      <alignment horizontal="right"/>
    </xf>
    <xf numFmtId="0" fontId="7" fillId="0" borderId="0" xfId="30" applyFont="1" applyAlignment="1">
      <alignment horizontal="left"/>
    </xf>
    <xf numFmtId="0" fontId="22" fillId="0" borderId="0" xfId="31"/>
    <xf numFmtId="0" fontId="9" fillId="0" borderId="3" xfId="30" applyFont="1" applyBorder="1" applyAlignment="1">
      <alignment horizontal="center" wrapText="1"/>
    </xf>
    <xf numFmtId="0" fontId="7" fillId="0" borderId="0" xfId="30" applyFont="1" applyAlignment="1">
      <alignment wrapText="1"/>
    </xf>
    <xf numFmtId="164" fontId="7" fillId="0" borderId="0" xfId="25" applyNumberFormat="1" applyFont="1" applyFill="1" applyBorder="1" applyAlignment="1"/>
    <xf numFmtId="0" fontId="7" fillId="0" borderId="0" xfId="30" applyFont="1" applyAlignment="1">
      <alignment wrapText="1" indent="2"/>
    </xf>
    <xf numFmtId="43" fontId="7" fillId="0" borderId="1" xfId="24" applyFont="1" applyFill="1" applyBorder="1" applyAlignment="1"/>
    <xf numFmtId="43" fontId="7" fillId="0" borderId="0" xfId="24" applyFont="1" applyFill="1" applyBorder="1" applyAlignment="1"/>
    <xf numFmtId="171" fontId="7" fillId="0" borderId="4" xfId="25" applyNumberFormat="1" applyFont="1" applyFill="1" applyBorder="1" applyAlignment="1"/>
    <xf numFmtId="166" fontId="0" fillId="0" borderId="1" xfId="1" applyNumberFormat="1" applyFont="1" applyBorder="1" applyAlignment="1">
      <alignment wrapText="1"/>
    </xf>
    <xf numFmtId="166" fontId="0" fillId="0" borderId="4" xfId="1" applyNumberFormat="1" applyFont="1" applyBorder="1" applyAlignment="1">
      <alignment wrapText="1"/>
    </xf>
    <xf numFmtId="0" fontId="0" fillId="0" borderId="0" xfId="0" applyAlignment="1">
      <alignment wrapText="1"/>
    </xf>
    <xf numFmtId="0" fontId="7" fillId="0" borderId="0" xfId="30" applyFont="1" applyAlignment="1"/>
    <xf numFmtId="44" fontId="7" fillId="0" borderId="0" xfId="30" applyNumberFormat="1" applyFont="1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164" fontId="7" fillId="0" borderId="0" xfId="2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44" fontId="7" fillId="0" borderId="4" xfId="2" applyNumberFormat="1" applyFont="1" applyFill="1" applyBorder="1" applyAlignment="1">
      <alignment horizontal="right"/>
    </xf>
    <xf numFmtId="166" fontId="7" fillId="0" borderId="4" xfId="1" applyNumberFormat="1" applyFont="1" applyFill="1" applyBorder="1" applyAlignment="1">
      <alignment horizontal="right"/>
    </xf>
    <xf numFmtId="169" fontId="7" fillId="0" borderId="0" xfId="0" applyNumberFormat="1" applyFont="1" applyFill="1" applyBorder="1" applyAlignment="1"/>
    <xf numFmtId="0" fontId="0" fillId="0" borderId="0" xfId="0" applyAlignment="1">
      <alignment wrapText="1"/>
    </xf>
    <xf numFmtId="167" fontId="7" fillId="0" borderId="0" xfId="0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165" fontId="7" fillId="0" borderId="0" xfId="0" applyNumberFormat="1" applyFont="1" applyFill="1" applyBorder="1" applyAlignment="1">
      <alignment horizontal="left"/>
    </xf>
    <xf numFmtId="0" fontId="8" fillId="0" borderId="0" xfId="0" applyFont="1" applyBorder="1" applyAlignment="1"/>
    <xf numFmtId="44" fontId="7" fillId="0" borderId="0" xfId="25" applyFont="1" applyFill="1" applyBorder="1" applyAlignment="1"/>
    <xf numFmtId="0" fontId="4" fillId="0" borderId="0" xfId="30" applyBorder="1"/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7" fillId="0" borderId="0" xfId="30" applyFont="1" applyAlignment="1">
      <alignment horizontal="left"/>
    </xf>
    <xf numFmtId="0" fontId="7" fillId="0" borderId="0" xfId="0" applyFont="1" applyAlignment="1">
      <alignment wrapText="1"/>
    </xf>
    <xf numFmtId="0" fontId="8" fillId="0" borderId="1" xfId="30" applyFont="1" applyBorder="1" applyAlignment="1"/>
    <xf numFmtId="0" fontId="23" fillId="0" borderId="0" xfId="0" applyFont="1" applyAlignment="1">
      <alignment wrapText="1"/>
    </xf>
    <xf numFmtId="0" fontId="24" fillId="0" borderId="6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7" fillId="0" borderId="0" xfId="0" applyFont="1" applyBorder="1"/>
    <xf numFmtId="0" fontId="7" fillId="0" borderId="0" xfId="0" applyFont="1"/>
    <xf numFmtId="164" fontId="7" fillId="0" borderId="0" xfId="2" applyNumberFormat="1" applyFont="1" applyBorder="1"/>
    <xf numFmtId="0" fontId="7" fillId="0" borderId="0" xfId="0" applyFont="1" applyAlignment="1">
      <alignment horizontal="left" wrapText="1" indent="1"/>
    </xf>
    <xf numFmtId="0" fontId="17" fillId="0" borderId="0" xfId="31" applyFont="1"/>
    <xf numFmtId="164" fontId="7" fillId="0" borderId="0" xfId="2" applyNumberFormat="1" applyFont="1" applyFill="1" applyBorder="1"/>
    <xf numFmtId="0" fontId="24" fillId="0" borderId="0" xfId="0" applyFont="1" applyFill="1" applyAlignment="1">
      <alignment wrapText="1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4" fillId="0" borderId="0" xfId="0" applyFont="1" applyAlignment="1">
      <alignment wrapText="1"/>
    </xf>
    <xf numFmtId="0" fontId="24" fillId="0" borderId="0" xfId="0" applyFont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2" fillId="0" borderId="0" xfId="31" applyAlignment="1"/>
    <xf numFmtId="0" fontId="17" fillId="0" borderId="0" xfId="31" applyFont="1" applyAlignment="1"/>
    <xf numFmtId="0" fontId="25" fillId="0" borderId="0" xfId="31" applyFont="1" applyAlignment="1"/>
    <xf numFmtId="0" fontId="7" fillId="0" borderId="0" xfId="0" applyFont="1" applyAlignment="1">
      <alignment vertical="center"/>
    </xf>
    <xf numFmtId="0" fontId="17" fillId="0" borderId="0" xfId="31" applyFont="1" applyAlignment="1">
      <alignment horizontal="left"/>
    </xf>
    <xf numFmtId="0" fontId="22" fillId="0" borderId="0" xfId="31" applyAlignment="1">
      <alignment horizontal="left" wrapText="1"/>
    </xf>
    <xf numFmtId="0" fontId="7" fillId="0" borderId="0" xfId="30" applyFont="1" applyAlignment="1">
      <alignment horizontal="left"/>
    </xf>
    <xf numFmtId="0" fontId="8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0" fillId="0" borderId="0" xfId="0" applyFont="1" applyAlignment="1">
      <alignment horizontal="left"/>
    </xf>
    <xf numFmtId="166" fontId="7" fillId="0" borderId="1" xfId="1" applyNumberFormat="1" applyFont="1" applyFill="1" applyBorder="1" applyAlignment="1">
      <alignment horizontal="left"/>
    </xf>
    <xf numFmtId="165" fontId="7" fillId="0" borderId="4" xfId="0" applyNumberFormat="1" applyFont="1" applyFill="1" applyBorder="1" applyAlignment="1">
      <alignment horizontal="left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166" fontId="7" fillId="0" borderId="0" xfId="1" applyNumberFormat="1" applyFont="1" applyFill="1" applyBorder="1"/>
    <xf numFmtId="166" fontId="7" fillId="0" borderId="0" xfId="1" applyNumberFormat="1" applyFont="1" applyFill="1"/>
    <xf numFmtId="164" fontId="7" fillId="0" borderId="2" xfId="2" applyNumberFormat="1" applyFont="1" applyFill="1" applyBorder="1"/>
    <xf numFmtId="44" fontId="7" fillId="0" borderId="0" xfId="2" applyFont="1" applyFill="1" applyBorder="1"/>
    <xf numFmtId="164" fontId="7" fillId="0" borderId="5" xfId="2" applyNumberFormat="1" applyFont="1" applyFill="1" applyBorder="1"/>
    <xf numFmtId="0" fontId="24" fillId="0" borderId="6" xfId="0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center" wrapText="1"/>
    </xf>
    <xf numFmtId="0" fontId="24" fillId="0" borderId="7" xfId="0" applyFont="1" applyFill="1" applyBorder="1" applyAlignment="1">
      <alignment horizontal="center" wrapText="1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left" wrapText="1" indent="1"/>
    </xf>
    <xf numFmtId="0" fontId="8" fillId="0" borderId="1" xfId="0" applyFont="1" applyBorder="1" applyAlignment="1">
      <alignment horizont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6" fontId="7" fillId="0" borderId="0" xfId="1" applyNumberFormat="1" applyFont="1" applyFill="1" applyBorder="1"/>
    <xf numFmtId="166" fontId="7" fillId="0" borderId="0" xfId="1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164" fontId="0" fillId="0" borderId="0" xfId="0" applyNumberFormat="1" applyAlignment="1">
      <alignment wrapText="1"/>
    </xf>
    <xf numFmtId="0" fontId="7" fillId="0" borderId="0" xfId="0" applyFont="1" applyAlignment="1">
      <alignment wrapText="1"/>
    </xf>
    <xf numFmtId="170" fontId="7" fillId="0" borderId="0" xfId="1" applyNumberFormat="1" applyFont="1" applyFill="1" applyBorder="1" applyAlignment="1"/>
    <xf numFmtId="0" fontId="9" fillId="0" borderId="0" xfId="0" applyFont="1" applyBorder="1" applyAlignment="1">
      <alignment wrapText="1"/>
    </xf>
    <xf numFmtId="164" fontId="7" fillId="0" borderId="0" xfId="0" applyNumberFormat="1" applyFont="1" applyFill="1" applyBorder="1" applyAlignment="1">
      <alignment horizontal="right"/>
    </xf>
    <xf numFmtId="164" fontId="7" fillId="0" borderId="4" xfId="0" applyNumberFormat="1" applyFont="1" applyFill="1" applyBorder="1" applyAlignment="1">
      <alignment horizontal="right"/>
    </xf>
    <xf numFmtId="164" fontId="7" fillId="0" borderId="4" xfId="0" applyNumberFormat="1" applyFont="1" applyFill="1" applyBorder="1" applyAlignment="1"/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44" fontId="7" fillId="0" borderId="0" xfId="2" applyNumberFormat="1" applyFont="1" applyFill="1" applyBorder="1" applyAlignment="1">
      <alignment horizontal="right"/>
    </xf>
    <xf numFmtId="44" fontId="7" fillId="0" borderId="0" xfId="2" applyFont="1" applyFill="1" applyBorder="1" applyAlignment="1">
      <alignment horizontal="right"/>
    </xf>
    <xf numFmtId="43" fontId="7" fillId="0" borderId="0" xfId="1" applyFont="1" applyFill="1" applyBorder="1" applyAlignment="1"/>
    <xf numFmtId="170" fontId="7" fillId="0" borderId="0" xfId="1" applyNumberFormat="1" applyFont="1" applyFill="1" applyBorder="1"/>
    <xf numFmtId="0" fontId="0" fillId="0" borderId="0" xfId="0" applyAlignment="1">
      <alignment wrapText="1"/>
    </xf>
    <xf numFmtId="166" fontId="14" fillId="0" borderId="0" xfId="1" applyNumberFormat="1" applyFont="1" applyFill="1" applyAlignment="1"/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165" fontId="7" fillId="0" borderId="0" xfId="0" applyNumberFormat="1" applyFont="1" applyAlignment="1">
      <alignment horizontal="left"/>
    </xf>
    <xf numFmtId="0" fontId="7" fillId="0" borderId="0" xfId="0" applyFont="1" applyAlignment="1">
      <alignment wrapText="1"/>
    </xf>
    <xf numFmtId="164" fontId="7" fillId="0" borderId="4" xfId="0" applyNumberFormat="1" applyFont="1" applyBorder="1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170" fontId="26" fillId="0" borderId="0" xfId="0" applyNumberFormat="1" applyFont="1" applyFill="1" applyBorder="1" applyAlignment="1" applyProtection="1"/>
    <xf numFmtId="166" fontId="26" fillId="0" borderId="0" xfId="0" applyNumberFormat="1" applyFont="1" applyFill="1" applyBorder="1" applyAlignment="1" applyProtection="1"/>
    <xf numFmtId="171" fontId="26" fillId="0" borderId="0" xfId="0" applyNumberFormat="1" applyFont="1" applyFill="1" applyBorder="1" applyAlignment="1" applyProtection="1"/>
    <xf numFmtId="170" fontId="26" fillId="0" borderId="8" xfId="0" applyNumberFormat="1" applyFont="1" applyFill="1" applyBorder="1" applyAlignment="1" applyProtection="1"/>
    <xf numFmtId="164" fontId="22" fillId="0" borderId="0" xfId="31" applyNumberFormat="1"/>
    <xf numFmtId="0" fontId="7" fillId="0" borderId="0" xfId="0" applyFont="1" applyFill="1" applyAlignment="1"/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170" fontId="7" fillId="0" borderId="8" xfId="24" applyNumberFormat="1" applyFont="1" applyFill="1" applyBorder="1" applyAlignment="1"/>
    <xf numFmtId="9" fontId="0" fillId="0" borderId="0" xfId="45" applyFont="1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166" fontId="7" fillId="0" borderId="8" xfId="1" applyNumberFormat="1" applyFont="1" applyFill="1" applyBorder="1" applyAlignment="1"/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7" fillId="0" borderId="0" xfId="0" applyFont="1" applyFill="1" applyAlignment="1">
      <alignment wrapText="1"/>
    </xf>
    <xf numFmtId="0" fontId="8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5" fillId="0" borderId="0" xfId="30" applyFont="1" applyAlignment="1">
      <alignment horizontal="center" wrapText="1"/>
    </xf>
    <xf numFmtId="0" fontId="7" fillId="0" borderId="0" xfId="30" applyFont="1" applyAlignment="1">
      <alignment horizontal="left"/>
    </xf>
    <xf numFmtId="0" fontId="8" fillId="0" borderId="2" xfId="30" applyFont="1" applyBorder="1" applyAlignment="1">
      <alignment horizontal="center" wrapText="1"/>
    </xf>
    <xf numFmtId="0" fontId="22" fillId="0" borderId="0" xfId="31" applyAlignment="1">
      <alignment wrapText="1"/>
    </xf>
    <xf numFmtId="0" fontId="4" fillId="0" borderId="0" xfId="30" applyAlignment="1">
      <alignment horizontal="left"/>
    </xf>
    <xf numFmtId="0" fontId="5" fillId="0" borderId="0" xfId="3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</cellXfs>
  <cellStyles count="46">
    <cellStyle name="Comma" xfId="1" builtinId="3"/>
    <cellStyle name="Comma 2" xfId="4"/>
    <cellStyle name="Comma 3" xfId="5"/>
    <cellStyle name="Comma 3 2" xfId="28"/>
    <cellStyle name="Comma 3 2 2" xfId="42"/>
    <cellStyle name="Comma 3 3" xfId="20"/>
    <cellStyle name="Comma 3 3 2" xfId="38"/>
    <cellStyle name="Comma 3 4" xfId="32"/>
    <cellStyle name="Comma 4" xfId="6"/>
    <cellStyle name="Comma 5" xfId="24"/>
    <cellStyle name="Comma 6" xfId="16"/>
    <cellStyle name="Currency" xfId="2" builtinId="4"/>
    <cellStyle name="Currency 2" xfId="7"/>
    <cellStyle name="Currency 3" xfId="8"/>
    <cellStyle name="Currency 3 2" xfId="29"/>
    <cellStyle name="Currency 3 2 2" xfId="43"/>
    <cellStyle name="Currency 3 3" xfId="21"/>
    <cellStyle name="Currency 3 3 2" xfId="39"/>
    <cellStyle name="Currency 3 4" xfId="33"/>
    <cellStyle name="Currency 4" xfId="9"/>
    <cellStyle name="Currency 5" xfId="25"/>
    <cellStyle name="Currency 6" xfId="17"/>
    <cellStyle name="Normal" xfId="0" builtinId="0"/>
    <cellStyle name="Normal 2" xfId="3"/>
    <cellStyle name="Normal 2 2" xfId="10"/>
    <cellStyle name="Normal 2 3" xfId="26"/>
    <cellStyle name="Normal 2 4" xfId="22"/>
    <cellStyle name="Normal 2 4 2" xfId="40"/>
    <cellStyle name="Normal 3" xfId="11"/>
    <cellStyle name="Normal 3 2" xfId="27"/>
    <cellStyle name="Normal 3 2 2" xfId="41"/>
    <cellStyle name="Normal 3 3" xfId="19"/>
    <cellStyle name="Normal 3 3 2" xfId="37"/>
    <cellStyle name="Normal 3 4" xfId="34"/>
    <cellStyle name="Normal 4" xfId="12"/>
    <cellStyle name="Normal 5" xfId="23"/>
    <cellStyle name="Normal 5 2" xfId="30"/>
    <cellStyle name="Normal 6" xfId="15"/>
    <cellStyle name="Normal 6 2" xfId="36"/>
    <cellStyle name="Normal 7" xfId="14"/>
    <cellStyle name="Normal 7 2" xfId="35"/>
    <cellStyle name="Normal 8" xfId="31"/>
    <cellStyle name="Normal 8 2" xfId="44"/>
    <cellStyle name="Percent" xfId="45" builtinId="5"/>
    <cellStyle name="Percent 2" xfId="13"/>
    <cellStyle name="Percent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M104"/>
  <sheetViews>
    <sheetView workbookViewId="0">
      <selection activeCell="A22" sqref="A22"/>
    </sheetView>
  </sheetViews>
  <sheetFormatPr defaultColWidth="21.5" defaultRowHeight="13.5" customHeight="1" x14ac:dyDescent="0.2"/>
  <cols>
    <col min="1" max="1" width="74" style="1" bestFit="1" customWidth="1"/>
    <col min="2" max="2" width="17.83203125" style="1" customWidth="1"/>
    <col min="3" max="3" width="17.83203125" style="147" customWidth="1"/>
    <col min="4" max="4" width="1" style="1" hidden="1" customWidth="1"/>
    <col min="5" max="6" width="17.83203125" style="1" hidden="1" customWidth="1"/>
    <col min="7" max="9" width="21.5" style="1" hidden="1" customWidth="1"/>
    <col min="10" max="10" width="21.5" style="1"/>
    <col min="11" max="11" width="21.5" style="254"/>
    <col min="12" max="16384" width="21.5" style="1"/>
  </cols>
  <sheetData>
    <row r="1" spans="1:11" ht="13.5" customHeight="1" x14ac:dyDescent="0.25">
      <c r="A1" s="260" t="s">
        <v>0</v>
      </c>
      <c r="B1" s="260"/>
      <c r="C1" s="260"/>
      <c r="D1" s="260"/>
      <c r="E1" s="260"/>
      <c r="F1" s="260"/>
    </row>
    <row r="2" spans="1:11" ht="13.5" customHeight="1" x14ac:dyDescent="0.25">
      <c r="A2" s="260" t="s">
        <v>182</v>
      </c>
      <c r="B2" s="260"/>
      <c r="C2" s="260"/>
      <c r="D2" s="260"/>
      <c r="E2" s="260"/>
      <c r="F2" s="260"/>
    </row>
    <row r="3" spans="1:11" ht="13.5" customHeight="1" x14ac:dyDescent="0.25">
      <c r="A3" s="260" t="s">
        <v>1</v>
      </c>
      <c r="B3" s="260"/>
      <c r="C3" s="260"/>
      <c r="D3" s="260"/>
      <c r="E3" s="260"/>
      <c r="F3" s="260"/>
    </row>
    <row r="4" spans="1:11" ht="13.5" customHeight="1" x14ac:dyDescent="0.2">
      <c r="A4" s="13"/>
      <c r="B4" s="13"/>
      <c r="C4" s="230"/>
      <c r="D4" s="230"/>
      <c r="E4" s="230"/>
      <c r="F4" s="230"/>
    </row>
    <row r="5" spans="1:11" s="86" customFormat="1" ht="13.5" customHeight="1" x14ac:dyDescent="0.2">
      <c r="A5" s="13"/>
      <c r="B5" s="13"/>
      <c r="C5" s="147"/>
      <c r="K5" s="254"/>
    </row>
    <row r="6" spans="1:11" ht="13.5" customHeight="1" x14ac:dyDescent="0.2">
      <c r="A6" s="3"/>
      <c r="B6" s="262" t="s">
        <v>184</v>
      </c>
      <c r="C6" s="262"/>
      <c r="E6" s="262" t="s">
        <v>172</v>
      </c>
      <c r="F6" s="262"/>
      <c r="H6" s="216" t="s">
        <v>174</v>
      </c>
    </row>
    <row r="7" spans="1:11" ht="12.75" x14ac:dyDescent="0.2">
      <c r="A7" s="3"/>
      <c r="B7" s="100">
        <v>2020</v>
      </c>
      <c r="C7" s="149">
        <v>2019</v>
      </c>
      <c r="E7" s="206">
        <v>2020</v>
      </c>
      <c r="F7" s="149">
        <v>2019</v>
      </c>
    </row>
    <row r="8" spans="1:11" ht="13.5" customHeight="1" x14ac:dyDescent="0.2">
      <c r="A8" s="3"/>
      <c r="B8" s="263" t="s">
        <v>2</v>
      </c>
      <c r="C8" s="263"/>
      <c r="D8" s="220"/>
      <c r="E8" s="250" t="s">
        <v>2</v>
      </c>
      <c r="F8" s="249"/>
    </row>
    <row r="9" spans="1:11" ht="13.5" customHeight="1" x14ac:dyDescent="0.2">
      <c r="A9" s="3"/>
      <c r="B9" s="16"/>
      <c r="C9" s="16"/>
      <c r="E9" s="16"/>
      <c r="F9" s="16"/>
    </row>
    <row r="10" spans="1:11" ht="13.5" customHeight="1" x14ac:dyDescent="0.2">
      <c r="A10" s="40" t="s">
        <v>3</v>
      </c>
      <c r="B10" s="142">
        <v>405232</v>
      </c>
      <c r="C10" s="142">
        <v>555183</v>
      </c>
      <c r="E10" s="142">
        <v>0</v>
      </c>
      <c r="F10" s="142">
        <v>0</v>
      </c>
      <c r="H10" s="142">
        <v>1744872</v>
      </c>
      <c r="I10" s="217">
        <f>E10-H10</f>
        <v>-1744872</v>
      </c>
      <c r="J10" s="217"/>
    </row>
    <row r="11" spans="1:11" ht="13.5" customHeight="1" x14ac:dyDescent="0.2">
      <c r="A11" s="17"/>
      <c r="B11" s="143"/>
      <c r="C11" s="143"/>
      <c r="E11" s="143"/>
      <c r="F11" s="143"/>
      <c r="H11" s="143"/>
      <c r="I11" s="217"/>
    </row>
    <row r="12" spans="1:11" ht="13.5" customHeight="1" x14ac:dyDescent="0.2">
      <c r="A12" s="40" t="s">
        <v>4</v>
      </c>
      <c r="B12" s="143"/>
      <c r="C12" s="143"/>
      <c r="E12" s="143"/>
      <c r="F12" s="143"/>
      <c r="H12" s="143"/>
      <c r="I12" s="217"/>
    </row>
    <row r="13" spans="1:11" ht="13.5" customHeight="1" x14ac:dyDescent="0.2">
      <c r="A13" s="41" t="s">
        <v>166</v>
      </c>
      <c r="B13" s="48">
        <v>374999</v>
      </c>
      <c r="C13" s="48">
        <v>438471</v>
      </c>
      <c r="D13" s="32"/>
      <c r="E13" s="48">
        <v>0</v>
      </c>
      <c r="F13" s="48">
        <v>0</v>
      </c>
      <c r="H13" s="48">
        <f>1395974-15411</f>
        <v>1380563</v>
      </c>
      <c r="I13" s="48">
        <f t="shared" ref="I13:I42" si="0">E13-H13</f>
        <v>-1380563</v>
      </c>
    </row>
    <row r="14" spans="1:11" ht="13.5" customHeight="1" x14ac:dyDescent="0.2">
      <c r="A14" s="41" t="s">
        <v>5</v>
      </c>
      <c r="B14" s="48">
        <v>31308</v>
      </c>
      <c r="C14" s="48">
        <v>25273</v>
      </c>
      <c r="E14" s="48">
        <v>0</v>
      </c>
      <c r="F14" s="48">
        <v>0</v>
      </c>
      <c r="H14" s="48">
        <v>82199</v>
      </c>
      <c r="I14" s="48">
        <f t="shared" si="0"/>
        <v>-82199</v>
      </c>
    </row>
    <row r="15" spans="1:11" s="86" customFormat="1" ht="13.5" customHeight="1" x14ac:dyDescent="0.2">
      <c r="A15" s="41" t="s">
        <v>75</v>
      </c>
      <c r="B15" s="48">
        <v>5006</v>
      </c>
      <c r="C15" s="48">
        <v>5137</v>
      </c>
      <c r="E15" s="48">
        <v>0</v>
      </c>
      <c r="F15" s="48">
        <v>0</v>
      </c>
      <c r="H15" s="48">
        <v>15411</v>
      </c>
      <c r="I15" s="48">
        <f t="shared" si="0"/>
        <v>-15411</v>
      </c>
      <c r="K15" s="254"/>
    </row>
    <row r="16" spans="1:11" ht="13.5" customHeight="1" x14ac:dyDescent="0.2">
      <c r="A16" s="41" t="s">
        <v>77</v>
      </c>
      <c r="B16" s="48">
        <v>0</v>
      </c>
      <c r="C16" s="48">
        <v>65</v>
      </c>
      <c r="E16" s="48">
        <v>0</v>
      </c>
      <c r="F16" s="48">
        <v>0</v>
      </c>
      <c r="H16" s="48">
        <v>-77</v>
      </c>
      <c r="I16" s="48">
        <f t="shared" si="0"/>
        <v>77</v>
      </c>
    </row>
    <row r="17" spans="1:12" ht="13.5" customHeight="1" x14ac:dyDescent="0.2">
      <c r="A17" s="41" t="s">
        <v>6</v>
      </c>
      <c r="B17" s="48">
        <v>743</v>
      </c>
      <c r="C17" s="48">
        <v>-12981</v>
      </c>
      <c r="E17" s="48">
        <v>0</v>
      </c>
      <c r="F17" s="48">
        <v>0</v>
      </c>
      <c r="G17" s="32"/>
      <c r="H17" s="48">
        <v>-19851</v>
      </c>
      <c r="I17" s="48">
        <f t="shared" si="0"/>
        <v>19851</v>
      </c>
    </row>
    <row r="18" spans="1:12" ht="13.5" customHeight="1" x14ac:dyDescent="0.2">
      <c r="A18" s="41" t="s">
        <v>7</v>
      </c>
      <c r="B18" s="48">
        <v>22745</v>
      </c>
      <c r="C18" s="48">
        <v>24089</v>
      </c>
      <c r="E18" s="48">
        <v>0</v>
      </c>
      <c r="F18" s="48">
        <v>0</v>
      </c>
      <c r="H18" s="48">
        <v>73864</v>
      </c>
      <c r="I18" s="48">
        <f t="shared" si="0"/>
        <v>-73864</v>
      </c>
    </row>
    <row r="19" spans="1:12" s="225" customFormat="1" ht="13.5" customHeight="1" x14ac:dyDescent="0.2">
      <c r="A19" s="41" t="s">
        <v>162</v>
      </c>
      <c r="B19" s="48">
        <v>3664</v>
      </c>
      <c r="C19" s="48">
        <v>0</v>
      </c>
      <c r="E19" s="48">
        <v>0</v>
      </c>
      <c r="F19" s="48">
        <v>0</v>
      </c>
      <c r="H19" s="48">
        <v>6772</v>
      </c>
      <c r="I19" s="48">
        <f t="shared" si="0"/>
        <v>-6772</v>
      </c>
      <c r="K19" s="254"/>
    </row>
    <row r="20" spans="1:12" s="248" customFormat="1" ht="13.5" customHeight="1" x14ac:dyDescent="0.2">
      <c r="A20" s="41" t="s">
        <v>193</v>
      </c>
      <c r="B20" s="48">
        <v>5828</v>
      </c>
      <c r="C20" s="48">
        <v>0</v>
      </c>
      <c r="E20" s="48">
        <v>0</v>
      </c>
      <c r="F20" s="48">
        <v>0</v>
      </c>
      <c r="H20" s="48"/>
      <c r="I20" s="48"/>
      <c r="K20" s="254"/>
    </row>
    <row r="21" spans="1:12" s="252" customFormat="1" ht="13.5" customHeight="1" x14ac:dyDescent="0.2">
      <c r="A21" s="41" t="s">
        <v>200</v>
      </c>
      <c r="B21" s="48">
        <v>-9000</v>
      </c>
      <c r="C21" s="48">
        <v>0</v>
      </c>
      <c r="E21" s="48"/>
      <c r="F21" s="48"/>
      <c r="H21" s="48"/>
      <c r="I21" s="48"/>
      <c r="K21" s="254"/>
    </row>
    <row r="22" spans="1:12" ht="13.5" customHeight="1" x14ac:dyDescent="0.2">
      <c r="A22" s="41" t="s">
        <v>191</v>
      </c>
      <c r="B22" s="42">
        <f>657-15827+9000</f>
        <v>-6170</v>
      </c>
      <c r="C22" s="42">
        <v>-1650</v>
      </c>
      <c r="E22" s="42">
        <v>0</v>
      </c>
      <c r="F22" s="42">
        <v>0</v>
      </c>
      <c r="H22" s="42">
        <f>9529-53368-4304+39000</f>
        <v>-9143</v>
      </c>
      <c r="I22" s="42">
        <f t="shared" si="0"/>
        <v>9143</v>
      </c>
    </row>
    <row r="23" spans="1:12" ht="13.5" customHeight="1" x14ac:dyDescent="0.2">
      <c r="A23" s="43"/>
      <c r="B23" s="42">
        <f>SUM(B13:B22)</f>
        <v>429123</v>
      </c>
      <c r="C23" s="42">
        <f>SUM(C13:C22)</f>
        <v>478404</v>
      </c>
      <c r="D23" s="32"/>
      <c r="E23" s="42">
        <f>SUM(E13:E22)</f>
        <v>0</v>
      </c>
      <c r="F23" s="42">
        <f>SUM(F13:F22)</f>
        <v>0</v>
      </c>
      <c r="H23" s="42">
        <f>SUM(H13:H22)</f>
        <v>1529738</v>
      </c>
      <c r="I23" s="42">
        <f t="shared" si="0"/>
        <v>-1529738</v>
      </c>
    </row>
    <row r="24" spans="1:12" ht="13.5" customHeight="1" x14ac:dyDescent="0.2">
      <c r="A24" s="17"/>
      <c r="B24" s="48"/>
      <c r="C24" s="48"/>
      <c r="E24" s="48"/>
      <c r="F24" s="48"/>
      <c r="H24" s="48"/>
      <c r="I24" s="48">
        <f t="shared" si="0"/>
        <v>0</v>
      </c>
    </row>
    <row r="25" spans="1:12" ht="13.5" customHeight="1" x14ac:dyDescent="0.2">
      <c r="A25" s="45" t="s">
        <v>180</v>
      </c>
      <c r="B25" s="48">
        <f>+B10-B23</f>
        <v>-23891</v>
      </c>
      <c r="C25" s="48">
        <f>+C10-C23</f>
        <v>76779</v>
      </c>
      <c r="D25" s="32"/>
      <c r="E25" s="48">
        <f>+E10-E23</f>
        <v>0</v>
      </c>
      <c r="F25" s="48">
        <f>+F10-F23</f>
        <v>0</v>
      </c>
      <c r="H25" s="48">
        <f>+H10-H23</f>
        <v>215134</v>
      </c>
      <c r="I25" s="48">
        <f t="shared" si="0"/>
        <v>-215134</v>
      </c>
    </row>
    <row r="26" spans="1:12" ht="13.5" customHeight="1" x14ac:dyDescent="0.2">
      <c r="A26" s="17"/>
      <c r="B26" s="48"/>
      <c r="C26" s="48"/>
      <c r="E26" s="48"/>
      <c r="F26" s="48"/>
      <c r="H26" s="48"/>
      <c r="I26" s="48">
        <f t="shared" si="0"/>
        <v>0</v>
      </c>
    </row>
    <row r="27" spans="1:12" ht="13.5" customHeight="1" x14ac:dyDescent="0.2">
      <c r="A27" s="40" t="s">
        <v>8</v>
      </c>
      <c r="B27" s="48"/>
      <c r="C27" s="48"/>
      <c r="E27" s="48"/>
      <c r="F27" s="48"/>
      <c r="H27" s="48"/>
      <c r="I27" s="48">
        <f t="shared" si="0"/>
        <v>0</v>
      </c>
    </row>
    <row r="28" spans="1:12" ht="13.5" customHeight="1" x14ac:dyDescent="0.2">
      <c r="A28" s="41" t="s">
        <v>9</v>
      </c>
      <c r="B28" s="48">
        <v>-3388</v>
      </c>
      <c r="C28" s="48">
        <v>-4432</v>
      </c>
      <c r="E28" s="48">
        <v>0</v>
      </c>
      <c r="F28" s="48">
        <v>0</v>
      </c>
      <c r="H28" s="48">
        <v>-12856</v>
      </c>
      <c r="I28" s="48">
        <f t="shared" si="0"/>
        <v>12856</v>
      </c>
    </row>
    <row r="29" spans="1:12" ht="13.5" customHeight="1" x14ac:dyDescent="0.2">
      <c r="A29" s="41" t="s">
        <v>10</v>
      </c>
      <c r="B29" s="48">
        <v>1259</v>
      </c>
      <c r="C29" s="48">
        <v>2143</v>
      </c>
      <c r="E29" s="48">
        <v>0</v>
      </c>
      <c r="F29" s="48">
        <v>0</v>
      </c>
      <c r="H29" s="48">
        <v>7940</v>
      </c>
      <c r="I29" s="48">
        <f t="shared" si="0"/>
        <v>-7940</v>
      </c>
      <c r="J29" s="32"/>
    </row>
    <row r="30" spans="1:12" ht="13.5" customHeight="1" x14ac:dyDescent="0.2">
      <c r="A30" s="17"/>
      <c r="B30" s="44">
        <f>SUM(B28:B29)</f>
        <v>-2129</v>
      </c>
      <c r="C30" s="44">
        <f>SUM(C28:C29)</f>
        <v>-2289</v>
      </c>
      <c r="E30" s="44">
        <f>SUM(E28:E29)</f>
        <v>0</v>
      </c>
      <c r="F30" s="44">
        <f>SUM(F28:F29)</f>
        <v>0</v>
      </c>
      <c r="H30" s="44">
        <f>SUM(H28:H29)</f>
        <v>-4916</v>
      </c>
      <c r="I30" s="44">
        <f t="shared" si="0"/>
        <v>4916</v>
      </c>
    </row>
    <row r="31" spans="1:12" ht="13.5" customHeight="1" x14ac:dyDescent="0.2">
      <c r="A31" s="17"/>
      <c r="B31" s="48"/>
      <c r="C31" s="48"/>
      <c r="E31" s="48"/>
      <c r="F31" s="48"/>
      <c r="H31" s="48"/>
      <c r="I31" s="48">
        <f t="shared" si="0"/>
        <v>0</v>
      </c>
      <c r="L31" s="77"/>
    </row>
    <row r="32" spans="1:12" s="86" customFormat="1" ht="13.5" customHeight="1" x14ac:dyDescent="0.2">
      <c r="A32" s="84" t="s">
        <v>178</v>
      </c>
      <c r="B32" s="48">
        <f>B25+B30</f>
        <v>-26020</v>
      </c>
      <c r="C32" s="48">
        <f>C25+C30</f>
        <v>74490</v>
      </c>
      <c r="D32" s="32"/>
      <c r="E32" s="48">
        <f>E25+E30</f>
        <v>0</v>
      </c>
      <c r="F32" s="48">
        <f>F25+F30</f>
        <v>0</v>
      </c>
      <c r="H32" s="48">
        <f>H25+H30</f>
        <v>210218</v>
      </c>
      <c r="I32" s="48">
        <f t="shared" si="0"/>
        <v>-210218</v>
      </c>
      <c r="K32" s="254"/>
      <c r="L32" s="95"/>
    </row>
    <row r="33" spans="1:13" s="86" customFormat="1" ht="13.5" customHeight="1" x14ac:dyDescent="0.2">
      <c r="A33" s="84"/>
      <c r="B33" s="48"/>
      <c r="C33" s="48"/>
      <c r="E33" s="48"/>
      <c r="F33" s="48"/>
      <c r="H33" s="48"/>
      <c r="I33" s="48">
        <f t="shared" si="0"/>
        <v>0</v>
      </c>
      <c r="K33" s="254"/>
    </row>
    <row r="34" spans="1:13" s="37" customFormat="1" ht="13.5" customHeight="1" x14ac:dyDescent="0.2">
      <c r="A34" s="46" t="s">
        <v>160</v>
      </c>
      <c r="B34" s="48"/>
      <c r="C34" s="48"/>
      <c r="E34" s="48"/>
      <c r="F34" s="48"/>
      <c r="H34" s="48"/>
      <c r="I34" s="48">
        <f t="shared" si="0"/>
        <v>0</v>
      </c>
      <c r="K34" s="254"/>
    </row>
    <row r="35" spans="1:13" s="186" customFormat="1" ht="13.5" customHeight="1" x14ac:dyDescent="0.2">
      <c r="A35" s="41" t="s">
        <v>131</v>
      </c>
      <c r="B35" s="48">
        <v>-1096</v>
      </c>
      <c r="C35" s="48">
        <v>-1766</v>
      </c>
      <c r="E35" s="48">
        <v>0</v>
      </c>
      <c r="F35" s="48">
        <v>0</v>
      </c>
      <c r="G35" s="32"/>
      <c r="H35" s="48">
        <v>-2127</v>
      </c>
      <c r="I35" s="48">
        <f t="shared" si="0"/>
        <v>2127</v>
      </c>
      <c r="K35" s="254"/>
    </row>
    <row r="36" spans="1:13" s="72" customFormat="1" ht="13.5" customHeight="1" x14ac:dyDescent="0.2">
      <c r="A36" s="41" t="s">
        <v>69</v>
      </c>
      <c r="B36" s="42">
        <v>26</v>
      </c>
      <c r="C36" s="42">
        <v>87</v>
      </c>
      <c r="E36" s="42">
        <v>0</v>
      </c>
      <c r="F36" s="42">
        <v>0</v>
      </c>
      <c r="H36" s="42">
        <v>71</v>
      </c>
      <c r="I36" s="42">
        <f t="shared" si="0"/>
        <v>-71</v>
      </c>
      <c r="K36" s="254"/>
      <c r="M36" s="251"/>
    </row>
    <row r="37" spans="1:13" s="64" customFormat="1" ht="13.5" customHeight="1" x14ac:dyDescent="0.2">
      <c r="A37" s="41"/>
      <c r="B37" s="44">
        <f>SUM(B35:B36)</f>
        <v>-1070</v>
      </c>
      <c r="C37" s="44">
        <f>SUM(C35:C36)</f>
        <v>-1679</v>
      </c>
      <c r="E37" s="44">
        <f>SUM(E35:E36)</f>
        <v>0</v>
      </c>
      <c r="F37" s="44">
        <f>SUM(F35:F36)</f>
        <v>0</v>
      </c>
      <c r="H37" s="44">
        <f>SUM(H35:H36)</f>
        <v>-2056</v>
      </c>
      <c r="I37" s="44">
        <f t="shared" si="0"/>
        <v>2056</v>
      </c>
      <c r="K37" s="254"/>
      <c r="M37" s="251"/>
    </row>
    <row r="38" spans="1:13" s="37" customFormat="1" ht="13.5" customHeight="1" x14ac:dyDescent="0.2">
      <c r="A38" s="17"/>
      <c r="B38" s="48"/>
      <c r="C38" s="48"/>
      <c r="E38" s="48"/>
      <c r="F38" s="48"/>
      <c r="H38" s="48"/>
      <c r="I38" s="48">
        <f t="shared" si="0"/>
        <v>0</v>
      </c>
      <c r="K38" s="254"/>
      <c r="M38" s="251"/>
    </row>
    <row r="39" spans="1:13" ht="13.5" customHeight="1" x14ac:dyDescent="0.2">
      <c r="A39" s="47" t="s">
        <v>175</v>
      </c>
      <c r="B39" s="48">
        <f>B32+B37</f>
        <v>-27090</v>
      </c>
      <c r="C39" s="48">
        <f>C32+C37</f>
        <v>72811</v>
      </c>
      <c r="D39" s="32"/>
      <c r="E39" s="48">
        <f>E32+E37</f>
        <v>0</v>
      </c>
      <c r="F39" s="48">
        <f>F32+F37</f>
        <v>0</v>
      </c>
      <c r="H39" s="48">
        <f>H32+H37</f>
        <v>208162</v>
      </c>
      <c r="I39" s="48">
        <f t="shared" si="0"/>
        <v>-208162</v>
      </c>
    </row>
    <row r="40" spans="1:13" ht="13.5" customHeight="1" x14ac:dyDescent="0.2">
      <c r="A40" s="47" t="s">
        <v>159</v>
      </c>
      <c r="B40" s="42">
        <v>-1791</v>
      </c>
      <c r="C40" s="42">
        <v>70</v>
      </c>
      <c r="E40" s="42">
        <v>0</v>
      </c>
      <c r="F40" s="42">
        <v>0</v>
      </c>
      <c r="H40" s="42">
        <v>508</v>
      </c>
      <c r="I40" s="42">
        <f t="shared" si="0"/>
        <v>-508</v>
      </c>
    </row>
    <row r="41" spans="1:13" s="21" customFormat="1" ht="13.5" customHeight="1" x14ac:dyDescent="0.2">
      <c r="A41" s="47"/>
      <c r="B41" s="48"/>
      <c r="C41" s="48"/>
      <c r="E41" s="48"/>
      <c r="F41" s="48"/>
      <c r="H41" s="48"/>
      <c r="I41" s="48">
        <f t="shared" si="0"/>
        <v>0</v>
      </c>
      <c r="K41" s="254"/>
    </row>
    <row r="42" spans="1:13" ht="13.5" customHeight="1" thickBot="1" x14ac:dyDescent="0.25">
      <c r="A42" s="49" t="s">
        <v>176</v>
      </c>
      <c r="B42" s="50">
        <f>B39-B40</f>
        <v>-25299</v>
      </c>
      <c r="C42" s="50">
        <f>C39-C40</f>
        <v>72741</v>
      </c>
      <c r="D42" s="32"/>
      <c r="E42" s="50">
        <f>E39-E40</f>
        <v>0</v>
      </c>
      <c r="F42" s="50">
        <f>F39-F40</f>
        <v>0</v>
      </c>
      <c r="H42" s="50">
        <f>H39-H40</f>
        <v>207654</v>
      </c>
      <c r="I42" s="50">
        <f t="shared" si="0"/>
        <v>-207654</v>
      </c>
    </row>
    <row r="43" spans="1:13" ht="13.5" customHeight="1" thickTop="1" x14ac:dyDescent="0.2">
      <c r="A43" s="46"/>
      <c r="B43" s="221"/>
      <c r="C43" s="221"/>
      <c r="H43" s="214"/>
      <c r="I43" s="215"/>
    </row>
    <row r="44" spans="1:13" ht="13.5" customHeight="1" x14ac:dyDescent="0.2">
      <c r="A44" s="40" t="s">
        <v>177</v>
      </c>
      <c r="B44" s="221"/>
      <c r="C44" s="221"/>
      <c r="H44" s="214"/>
      <c r="I44" s="215"/>
    </row>
    <row r="45" spans="1:13" ht="13.5" customHeight="1" thickBot="1" x14ac:dyDescent="0.25">
      <c r="A45" s="65" t="s">
        <v>105</v>
      </c>
      <c r="B45" s="144">
        <f>ROUND(B42/B49,2)</f>
        <v>-1.67</v>
      </c>
      <c r="C45" s="144">
        <f>ROUND(C42/C49,2)</f>
        <v>4.16</v>
      </c>
      <c r="E45" s="144" t="e">
        <f>ROUND(E42/E49,2)</f>
        <v>#DIV/0!</v>
      </c>
      <c r="F45" s="144" t="e">
        <f>ROUND(F42/F49,2)</f>
        <v>#DIV/0!</v>
      </c>
      <c r="H45" s="226"/>
      <c r="I45" s="226"/>
    </row>
    <row r="46" spans="1:13" s="93" customFormat="1" ht="13.5" customHeight="1" thickTop="1" thickBot="1" x14ac:dyDescent="0.25">
      <c r="A46" s="92" t="s">
        <v>106</v>
      </c>
      <c r="B46" s="144">
        <f>ROUND(B42/B50,2)</f>
        <v>-1.67</v>
      </c>
      <c r="C46" s="144">
        <f>ROUND(C42/C50,2)</f>
        <v>3.91</v>
      </c>
      <c r="E46" s="123" t="e">
        <f>ROUND(E42/E50,2)</f>
        <v>#DIV/0!</v>
      </c>
      <c r="F46" s="123" t="e">
        <f>ROUND(F42/F50,2)</f>
        <v>#DIV/0!</v>
      </c>
      <c r="H46" s="227"/>
      <c r="I46" s="227"/>
      <c r="K46" s="254"/>
    </row>
    <row r="47" spans="1:13" ht="13.5" customHeight="1" thickTop="1" x14ac:dyDescent="0.2">
      <c r="A47" s="66"/>
      <c r="B47" s="143"/>
      <c r="C47" s="143"/>
      <c r="E47" s="143"/>
      <c r="F47" s="143"/>
      <c r="H47" s="143"/>
      <c r="I47" s="143"/>
    </row>
    <row r="48" spans="1:13" s="122" customFormat="1" ht="13.5" customHeight="1" x14ac:dyDescent="0.2">
      <c r="A48" s="46" t="s">
        <v>98</v>
      </c>
      <c r="B48" s="143"/>
      <c r="C48" s="143"/>
      <c r="E48" s="143"/>
      <c r="F48" s="143"/>
      <c r="H48" s="143"/>
      <c r="I48" s="143"/>
      <c r="K48" s="254"/>
    </row>
    <row r="49" spans="1:11" ht="13.5" customHeight="1" thickBot="1" x14ac:dyDescent="0.25">
      <c r="A49" s="65" t="s">
        <v>76</v>
      </c>
      <c r="B49" s="145">
        <v>15139</v>
      </c>
      <c r="C49" s="145">
        <v>17494</v>
      </c>
      <c r="E49" s="145"/>
      <c r="F49" s="145"/>
      <c r="H49" s="48"/>
      <c r="I49" s="48"/>
    </row>
    <row r="50" spans="1:11" s="93" customFormat="1" ht="13.5" customHeight="1" thickTop="1" thickBot="1" x14ac:dyDescent="0.25">
      <c r="A50" s="92" t="s">
        <v>11</v>
      </c>
      <c r="B50" s="145">
        <v>15139</v>
      </c>
      <c r="C50" s="145">
        <v>18599</v>
      </c>
      <c r="E50" s="145"/>
      <c r="F50" s="145"/>
      <c r="H50" s="48"/>
      <c r="I50" s="48"/>
      <c r="K50" s="254"/>
    </row>
    <row r="51" spans="1:11" ht="13.5" customHeight="1" thickTop="1" x14ac:dyDescent="0.2">
      <c r="A51" s="66"/>
      <c r="B51" s="143"/>
      <c r="C51" s="143"/>
      <c r="E51" s="143"/>
      <c r="F51" s="143"/>
      <c r="H51" s="143"/>
      <c r="I51" s="143"/>
    </row>
    <row r="52" spans="1:11" s="122" customFormat="1" ht="13.5" customHeight="1" thickBot="1" x14ac:dyDescent="0.25">
      <c r="A52" s="121" t="s">
        <v>99</v>
      </c>
      <c r="B52" s="144">
        <v>0.5</v>
      </c>
      <c r="C52" s="144">
        <v>0.45</v>
      </c>
      <c r="E52" s="123">
        <v>0</v>
      </c>
      <c r="F52" s="123">
        <v>0</v>
      </c>
      <c r="H52" s="227"/>
      <c r="I52" s="227"/>
      <c r="K52" s="254"/>
    </row>
    <row r="53" spans="1:11" s="122" customFormat="1" ht="13.5" customHeight="1" thickTop="1" x14ac:dyDescent="0.2">
      <c r="A53" s="121"/>
      <c r="B53" s="221"/>
      <c r="C53" s="221"/>
      <c r="E53" s="143"/>
      <c r="F53" s="143"/>
      <c r="H53" s="143"/>
      <c r="I53" s="143"/>
      <c r="K53" s="254"/>
    </row>
    <row r="54" spans="1:11" ht="13.5" customHeight="1" thickBot="1" x14ac:dyDescent="0.25">
      <c r="A54" s="40" t="s">
        <v>163</v>
      </c>
      <c r="B54" s="222">
        <f>'Reconciliation page'!B35</f>
        <v>12915</v>
      </c>
      <c r="C54" s="223">
        <f>'Reconciliation page'!C35</f>
        <v>107254</v>
      </c>
      <c r="E54" s="51" t="e">
        <f>'Reconciliation page'!E35</f>
        <v>#REF!</v>
      </c>
      <c r="F54" s="51" t="e">
        <f>'Reconciliation page'!F35</f>
        <v>#REF!</v>
      </c>
      <c r="H54" s="104"/>
      <c r="I54" s="104"/>
    </row>
    <row r="55" spans="1:11" ht="36.75" customHeight="1" thickTop="1" x14ac:dyDescent="0.2">
      <c r="A55" s="261" t="s">
        <v>144</v>
      </c>
      <c r="B55" s="261"/>
      <c r="C55" s="261"/>
      <c r="D55" s="261"/>
      <c r="E55" s="261"/>
      <c r="F55" s="261"/>
      <c r="H55" s="28"/>
      <c r="I55" s="28"/>
    </row>
    <row r="56" spans="1:11" ht="13.5" customHeight="1" x14ac:dyDescent="0.2">
      <c r="A56" s="17"/>
      <c r="B56" s="17"/>
    </row>
    <row r="57" spans="1:11" ht="13.5" customHeight="1" x14ac:dyDescent="0.2">
      <c r="A57" s="17"/>
      <c r="B57" s="20"/>
    </row>
    <row r="58" spans="1:11" ht="13.5" customHeight="1" x14ac:dyDescent="0.2">
      <c r="A58" s="17"/>
      <c r="B58" s="53"/>
    </row>
    <row r="59" spans="1:11" ht="13.5" customHeight="1" x14ac:dyDescent="0.2">
      <c r="A59" s="17"/>
      <c r="B59" s="17"/>
    </row>
    <row r="60" spans="1:11" ht="13.5" customHeight="1" x14ac:dyDescent="0.2">
      <c r="A60" s="17"/>
      <c r="B60" s="17"/>
    </row>
    <row r="61" spans="1:11" ht="13.5" customHeight="1" x14ac:dyDescent="0.2">
      <c r="A61" s="54"/>
      <c r="B61" s="54"/>
    </row>
    <row r="62" spans="1:11" ht="13.5" customHeight="1" x14ac:dyDescent="0.2">
      <c r="A62" s="54"/>
      <c r="B62" s="54"/>
    </row>
    <row r="63" spans="1:11" ht="13.5" customHeight="1" x14ac:dyDescent="0.2">
      <c r="A63" s="2"/>
      <c r="B63" s="2"/>
    </row>
    <row r="64" spans="1:11" ht="13.5" customHeight="1" x14ac:dyDescent="0.2">
      <c r="A64" s="2"/>
      <c r="B64" s="2"/>
    </row>
    <row r="65" spans="1:2" ht="13.5" customHeight="1" x14ac:dyDescent="0.2">
      <c r="A65" s="2"/>
      <c r="B65" s="2"/>
    </row>
    <row r="66" spans="1:2" ht="13.5" customHeight="1" x14ac:dyDescent="0.2">
      <c r="A66" s="2"/>
      <c r="B66" s="2"/>
    </row>
    <row r="67" spans="1:2" ht="13.5" customHeight="1" x14ac:dyDescent="0.2">
      <c r="A67" s="2"/>
      <c r="B67" s="2"/>
    </row>
    <row r="68" spans="1:2" ht="13.5" customHeight="1" x14ac:dyDescent="0.2">
      <c r="A68" s="2"/>
      <c r="B68" s="2"/>
    </row>
    <row r="69" spans="1:2" ht="13.5" customHeight="1" x14ac:dyDescent="0.2">
      <c r="A69" s="2"/>
      <c r="B69" s="2"/>
    </row>
    <row r="70" spans="1:2" ht="13.5" customHeight="1" x14ac:dyDescent="0.2">
      <c r="A70" s="2"/>
      <c r="B70" s="2"/>
    </row>
    <row r="71" spans="1:2" ht="13.5" customHeight="1" x14ac:dyDescent="0.2">
      <c r="A71" s="2"/>
      <c r="B71" s="2"/>
    </row>
    <row r="72" spans="1:2" ht="13.5" customHeight="1" x14ac:dyDescent="0.2">
      <c r="A72" s="2"/>
      <c r="B72" s="2"/>
    </row>
    <row r="73" spans="1:2" ht="13.5" customHeight="1" x14ac:dyDescent="0.2">
      <c r="A73" s="2"/>
      <c r="B73" s="2"/>
    </row>
    <row r="74" spans="1:2" ht="13.5" customHeight="1" x14ac:dyDescent="0.2">
      <c r="A74" s="2"/>
      <c r="B74" s="2"/>
    </row>
    <row r="75" spans="1:2" ht="13.5" customHeight="1" x14ac:dyDescent="0.2">
      <c r="A75" s="2"/>
      <c r="B75" s="2"/>
    </row>
    <row r="76" spans="1:2" ht="13.5" customHeight="1" x14ac:dyDescent="0.2">
      <c r="A76" s="2"/>
      <c r="B76" s="2"/>
    </row>
    <row r="77" spans="1:2" ht="13.5" customHeight="1" x14ac:dyDescent="0.2">
      <c r="A77" s="2"/>
      <c r="B77" s="2"/>
    </row>
    <row r="78" spans="1:2" ht="13.5" customHeight="1" x14ac:dyDescent="0.2">
      <c r="A78" s="2"/>
      <c r="B78" s="2"/>
    </row>
    <row r="79" spans="1:2" ht="13.5" customHeight="1" x14ac:dyDescent="0.2">
      <c r="A79" s="2"/>
      <c r="B79" s="2"/>
    </row>
    <row r="80" spans="1:2" ht="13.5" customHeight="1" x14ac:dyDescent="0.2">
      <c r="A80" s="2"/>
      <c r="B80" s="2"/>
    </row>
    <row r="81" spans="1:2" ht="13.5" customHeight="1" x14ac:dyDescent="0.2">
      <c r="A81" s="2"/>
      <c r="B81" s="2"/>
    </row>
    <row r="82" spans="1:2" ht="13.5" customHeight="1" x14ac:dyDescent="0.2">
      <c r="A82" s="2"/>
      <c r="B82" s="2"/>
    </row>
    <row r="83" spans="1:2" ht="13.5" customHeight="1" x14ac:dyDescent="0.2">
      <c r="A83" s="2"/>
      <c r="B83" s="2"/>
    </row>
    <row r="84" spans="1:2" ht="13.5" customHeight="1" x14ac:dyDescent="0.2">
      <c r="A84" s="2"/>
      <c r="B84" s="2"/>
    </row>
    <row r="85" spans="1:2" ht="13.5" customHeight="1" x14ac:dyDescent="0.2">
      <c r="A85" s="2"/>
      <c r="B85" s="2"/>
    </row>
    <row r="86" spans="1:2" ht="13.5" customHeight="1" x14ac:dyDescent="0.2">
      <c r="A86" s="2"/>
      <c r="B86" s="2"/>
    </row>
    <row r="87" spans="1:2" ht="13.5" customHeight="1" x14ac:dyDescent="0.2">
      <c r="A87" s="2"/>
      <c r="B87" s="2"/>
    </row>
    <row r="88" spans="1:2" ht="13.5" customHeight="1" x14ac:dyDescent="0.2">
      <c r="A88" s="2"/>
      <c r="B88" s="2"/>
    </row>
    <row r="89" spans="1:2" ht="13.5" customHeight="1" x14ac:dyDescent="0.2">
      <c r="A89" s="2"/>
      <c r="B89" s="2"/>
    </row>
    <row r="90" spans="1:2" ht="13.5" customHeight="1" x14ac:dyDescent="0.2">
      <c r="A90" s="2"/>
      <c r="B90" s="2"/>
    </row>
    <row r="91" spans="1:2" ht="13.5" customHeight="1" x14ac:dyDescent="0.2">
      <c r="A91" s="2"/>
      <c r="B91" s="2"/>
    </row>
    <row r="92" spans="1:2" ht="13.5" customHeight="1" x14ac:dyDescent="0.2">
      <c r="A92" s="2"/>
      <c r="B92" s="2"/>
    </row>
    <row r="93" spans="1:2" ht="13.5" customHeight="1" x14ac:dyDescent="0.2">
      <c r="A93" s="2"/>
      <c r="B93" s="2"/>
    </row>
    <row r="94" spans="1:2" ht="13.5" customHeight="1" x14ac:dyDescent="0.2">
      <c r="A94" s="2"/>
      <c r="B94" s="2"/>
    </row>
    <row r="95" spans="1:2" ht="13.5" customHeight="1" x14ac:dyDescent="0.2">
      <c r="A95" s="2"/>
      <c r="B95" s="2"/>
    </row>
    <row r="96" spans="1:2" ht="13.5" customHeight="1" x14ac:dyDescent="0.2">
      <c r="A96" s="2"/>
      <c r="B96" s="2"/>
    </row>
    <row r="97" spans="1:2" ht="13.5" customHeight="1" x14ac:dyDescent="0.2">
      <c r="A97" s="2"/>
      <c r="B97" s="2"/>
    </row>
    <row r="98" spans="1:2" ht="13.5" customHeight="1" x14ac:dyDescent="0.2">
      <c r="A98" s="2"/>
      <c r="B98" s="2"/>
    </row>
    <row r="99" spans="1:2" ht="13.5" customHeight="1" x14ac:dyDescent="0.2">
      <c r="A99" s="2"/>
      <c r="B99" s="2"/>
    </row>
    <row r="100" spans="1:2" ht="13.5" customHeight="1" x14ac:dyDescent="0.2">
      <c r="A100" s="2"/>
      <c r="B100" s="2"/>
    </row>
    <row r="101" spans="1:2" ht="13.5" customHeight="1" x14ac:dyDescent="0.2">
      <c r="A101" s="2"/>
      <c r="B101" s="2"/>
    </row>
    <row r="102" spans="1:2" ht="13.5" customHeight="1" x14ac:dyDescent="0.2">
      <c r="A102" s="2"/>
      <c r="B102" s="2"/>
    </row>
    <row r="103" spans="1:2" ht="13.5" customHeight="1" x14ac:dyDescent="0.2">
      <c r="A103" s="2"/>
      <c r="B103" s="2"/>
    </row>
    <row r="104" spans="1:2" ht="13.5" customHeight="1" x14ac:dyDescent="0.2">
      <c r="A104" s="2"/>
      <c r="B104" s="2"/>
    </row>
  </sheetData>
  <mergeCells count="7">
    <mergeCell ref="A1:F1"/>
    <mergeCell ref="A2:F2"/>
    <mergeCell ref="A3:F3"/>
    <mergeCell ref="A55:F55"/>
    <mergeCell ref="E6:F6"/>
    <mergeCell ref="B6:C6"/>
    <mergeCell ref="B8:C8"/>
  </mergeCells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G62"/>
  <sheetViews>
    <sheetView topLeftCell="A13" workbookViewId="0">
      <selection activeCell="A51" sqref="A51"/>
    </sheetView>
  </sheetViews>
  <sheetFormatPr defaultColWidth="21.5" defaultRowHeight="13.5" customHeight="1" x14ac:dyDescent="0.2"/>
  <cols>
    <col min="1" max="1" width="65.33203125" style="1" customWidth="1"/>
    <col min="2" max="3" width="15.83203125" style="1" customWidth="1"/>
    <col min="4" max="4" width="21.5" style="1" customWidth="1"/>
    <col min="5" max="5" width="26.1640625" style="77" customWidth="1"/>
    <col min="6" max="6" width="21.5" style="1" customWidth="1"/>
    <col min="7" max="16384" width="21.5" style="1"/>
  </cols>
  <sheetData>
    <row r="1" spans="1:7" ht="13.5" customHeight="1" x14ac:dyDescent="0.25">
      <c r="A1" s="260" t="s">
        <v>0</v>
      </c>
      <c r="B1" s="264"/>
      <c r="C1" s="264"/>
    </row>
    <row r="2" spans="1:7" ht="13.5" customHeight="1" x14ac:dyDescent="0.25">
      <c r="A2" s="260" t="s">
        <v>12</v>
      </c>
      <c r="B2" s="264"/>
      <c r="C2" s="264"/>
    </row>
    <row r="3" spans="1:7" ht="13.5" customHeight="1" x14ac:dyDescent="0.25">
      <c r="A3" s="260" t="s">
        <v>13</v>
      </c>
      <c r="B3" s="264"/>
      <c r="C3" s="264"/>
    </row>
    <row r="4" spans="1:7" ht="13.5" customHeight="1" x14ac:dyDescent="0.2">
      <c r="A4" s="3"/>
      <c r="B4" s="3"/>
      <c r="C4" s="3"/>
      <c r="D4" s="3"/>
    </row>
    <row r="5" spans="1:7" s="86" customFormat="1" ht="13.5" customHeight="1" x14ac:dyDescent="0.2">
      <c r="A5" s="85"/>
      <c r="B5" s="102"/>
      <c r="C5" s="102"/>
      <c r="D5" s="85"/>
      <c r="E5" s="77"/>
    </row>
    <row r="6" spans="1:7" ht="13.5" customHeight="1" x14ac:dyDescent="0.2">
      <c r="A6" s="3"/>
      <c r="B6" s="103" t="s">
        <v>185</v>
      </c>
      <c r="C6" s="89" t="s">
        <v>62</v>
      </c>
      <c r="D6" s="3"/>
    </row>
    <row r="7" spans="1:7" ht="13.5" customHeight="1" x14ac:dyDescent="0.2">
      <c r="A7" s="3"/>
      <c r="B7" s="100">
        <v>2020</v>
      </c>
      <c r="C7" s="10">
        <v>2019</v>
      </c>
      <c r="D7" s="3"/>
    </row>
    <row r="8" spans="1:7" ht="13.5" customHeight="1" x14ac:dyDescent="0.2">
      <c r="A8" s="3"/>
      <c r="B8" s="97" t="s">
        <v>2</v>
      </c>
      <c r="C8" s="88"/>
      <c r="D8" s="3"/>
    </row>
    <row r="9" spans="1:7" ht="13.5" customHeight="1" x14ac:dyDescent="0.2">
      <c r="A9" s="4" t="s">
        <v>14</v>
      </c>
      <c r="B9" s="16"/>
      <c r="C9" s="3"/>
      <c r="D9" s="3"/>
    </row>
    <row r="10" spans="1:7" ht="13.5" customHeight="1" x14ac:dyDescent="0.2">
      <c r="A10" s="4" t="s">
        <v>15</v>
      </c>
      <c r="B10" s="16"/>
      <c r="C10" s="3"/>
      <c r="D10" s="3"/>
    </row>
    <row r="11" spans="1:7" ht="13.5" customHeight="1" x14ac:dyDescent="0.2">
      <c r="A11" s="5" t="s">
        <v>16</v>
      </c>
      <c r="B11" s="104">
        <v>105157</v>
      </c>
      <c r="C11" s="104">
        <v>153020</v>
      </c>
      <c r="D11" s="234"/>
    </row>
    <row r="12" spans="1:7" ht="13.5" customHeight="1" x14ac:dyDescent="0.2">
      <c r="A12" s="5" t="s">
        <v>145</v>
      </c>
      <c r="B12" s="80">
        <v>129057</v>
      </c>
      <c r="C12" s="80">
        <v>135667</v>
      </c>
      <c r="D12" s="3"/>
    </row>
    <row r="13" spans="1:7" ht="13.5" customHeight="1" x14ac:dyDescent="0.2">
      <c r="A13" s="5" t="s">
        <v>18</v>
      </c>
      <c r="B13" s="80">
        <v>149225</v>
      </c>
      <c r="C13" s="80">
        <v>168125</v>
      </c>
      <c r="D13" s="3"/>
      <c r="F13" s="135"/>
      <c r="G13" s="135"/>
    </row>
    <row r="14" spans="1:7" ht="13.5" customHeight="1" x14ac:dyDescent="0.2">
      <c r="A14" s="5" t="s">
        <v>19</v>
      </c>
      <c r="B14" s="80">
        <v>19016</v>
      </c>
      <c r="C14" s="80">
        <v>21143</v>
      </c>
      <c r="D14" s="3"/>
      <c r="F14" s="135"/>
      <c r="G14" s="135"/>
    </row>
    <row r="15" spans="1:7" ht="13.5" customHeight="1" x14ac:dyDescent="0.2">
      <c r="A15" s="5" t="s">
        <v>20</v>
      </c>
      <c r="B15" s="80">
        <v>149986</v>
      </c>
      <c r="C15" s="80">
        <v>130898</v>
      </c>
      <c r="D15" s="3"/>
      <c r="F15" s="135"/>
      <c r="G15" s="135"/>
    </row>
    <row r="16" spans="1:7" ht="13.5" hidden="1" customHeight="1" x14ac:dyDescent="0.2">
      <c r="A16" s="5" t="s">
        <v>21</v>
      </c>
      <c r="B16" s="80"/>
      <c r="C16" s="80"/>
      <c r="D16" s="3"/>
      <c r="F16" s="135"/>
      <c r="G16" s="135"/>
    </row>
    <row r="17" spans="1:7" s="26" customFormat="1" ht="13.5" hidden="1" customHeight="1" x14ac:dyDescent="0.2">
      <c r="A17" s="5" t="s">
        <v>23</v>
      </c>
      <c r="B17" s="80"/>
      <c r="C17" s="80"/>
      <c r="D17" s="25"/>
      <c r="E17" s="77"/>
      <c r="F17" s="135"/>
      <c r="G17" s="135"/>
    </row>
    <row r="18" spans="1:7" ht="13.5" hidden="1" customHeight="1" x14ac:dyDescent="0.2">
      <c r="A18" s="5" t="s">
        <v>22</v>
      </c>
      <c r="B18" s="80"/>
      <c r="C18" s="80"/>
      <c r="D18" s="3"/>
      <c r="F18" s="135"/>
      <c r="G18" s="135"/>
    </row>
    <row r="19" spans="1:7" ht="13.5" customHeight="1" x14ac:dyDescent="0.2">
      <c r="A19" s="5" t="s">
        <v>24</v>
      </c>
      <c r="B19" s="59">
        <f>500+4958+81638</f>
        <v>87096</v>
      </c>
      <c r="C19" s="59">
        <f>500+5724+91670</f>
        <v>97894</v>
      </c>
      <c r="D19" s="76"/>
      <c r="F19" s="135"/>
      <c r="G19" s="135"/>
    </row>
    <row r="20" spans="1:7" ht="13.5" customHeight="1" x14ac:dyDescent="0.2">
      <c r="A20" s="5" t="s">
        <v>25</v>
      </c>
      <c r="B20" s="105">
        <f>SUM(B11:B19)</f>
        <v>639537</v>
      </c>
      <c r="C20" s="57">
        <f>SUM(C11:C19)</f>
        <v>706747</v>
      </c>
      <c r="D20" s="76"/>
      <c r="F20" s="135"/>
      <c r="G20" s="135"/>
    </row>
    <row r="21" spans="1:7" ht="13.5" customHeight="1" x14ac:dyDescent="0.2">
      <c r="A21" s="3"/>
      <c r="B21" s="94"/>
      <c r="C21" s="56"/>
      <c r="D21" s="3"/>
      <c r="F21" s="135"/>
      <c r="G21" s="135"/>
    </row>
    <row r="22" spans="1:7" ht="13.5" customHeight="1" x14ac:dyDescent="0.2">
      <c r="A22" s="4" t="s">
        <v>26</v>
      </c>
      <c r="B22" s="80">
        <v>1035776</v>
      </c>
      <c r="C22" s="80">
        <v>984509</v>
      </c>
      <c r="D22" s="3"/>
      <c r="E22" s="78"/>
      <c r="F22" s="135"/>
      <c r="G22" s="135"/>
    </row>
    <row r="23" spans="1:7" ht="13.5" customHeight="1" x14ac:dyDescent="0.2">
      <c r="A23" s="3"/>
      <c r="B23" s="94"/>
      <c r="C23" s="94"/>
      <c r="D23" s="3"/>
    </row>
    <row r="24" spans="1:7" ht="13.5" customHeight="1" x14ac:dyDescent="0.2">
      <c r="A24" s="4" t="s">
        <v>27</v>
      </c>
      <c r="B24" s="94"/>
      <c r="C24" s="94"/>
      <c r="D24" s="3"/>
    </row>
    <row r="25" spans="1:7" ht="13.5" customHeight="1" x14ac:dyDescent="0.2">
      <c r="A25" s="5" t="s">
        <v>28</v>
      </c>
      <c r="B25" s="80">
        <v>106535</v>
      </c>
      <c r="C25" s="80">
        <v>105588</v>
      </c>
      <c r="D25" s="3"/>
    </row>
    <row r="26" spans="1:7" ht="13.5" customHeight="1" x14ac:dyDescent="0.2">
      <c r="A26" s="5" t="s">
        <v>29</v>
      </c>
      <c r="B26" s="59">
        <f>81+1600+73977</f>
        <v>75658</v>
      </c>
      <c r="C26" s="59">
        <f>82+1600+69230</f>
        <v>70912</v>
      </c>
      <c r="D26" s="3"/>
    </row>
    <row r="27" spans="1:7" ht="13.5" customHeight="1" x14ac:dyDescent="0.2">
      <c r="A27" s="7" t="s">
        <v>30</v>
      </c>
      <c r="B27" s="59">
        <f>SUM(B25:B26)</f>
        <v>182193</v>
      </c>
      <c r="C27" s="59">
        <f>SUM(C25:C26)</f>
        <v>176500</v>
      </c>
      <c r="D27" s="3"/>
    </row>
    <row r="28" spans="1:7" ht="13.5" customHeight="1" thickBot="1" x14ac:dyDescent="0.25">
      <c r="A28" s="8" t="s">
        <v>31</v>
      </c>
      <c r="B28" s="60">
        <f>+B27+B22+B20</f>
        <v>1857506</v>
      </c>
      <c r="C28" s="60">
        <f>+C20+C22+C27</f>
        <v>1867756</v>
      </c>
      <c r="D28" s="3"/>
    </row>
    <row r="29" spans="1:7" ht="13.5" customHeight="1" thickTop="1" x14ac:dyDescent="0.2">
      <c r="A29" s="3"/>
      <c r="B29" s="94"/>
      <c r="C29" s="56"/>
      <c r="D29" s="3"/>
    </row>
    <row r="30" spans="1:7" ht="13.5" customHeight="1" x14ac:dyDescent="0.2">
      <c r="A30" s="4" t="s">
        <v>90</v>
      </c>
      <c r="B30" s="94"/>
      <c r="C30" s="56"/>
      <c r="D30" s="3"/>
    </row>
    <row r="31" spans="1:7" ht="13.5" customHeight="1" x14ac:dyDescent="0.2">
      <c r="A31" s="87" t="s">
        <v>72</v>
      </c>
      <c r="B31" s="94"/>
      <c r="C31" s="56"/>
      <c r="D31" s="3"/>
    </row>
    <row r="32" spans="1:7" ht="13.5" customHeight="1" x14ac:dyDescent="0.2">
      <c r="A32" s="5" t="s">
        <v>32</v>
      </c>
      <c r="B32" s="98">
        <f>108255+717</f>
        <v>108972</v>
      </c>
      <c r="C32" s="98">
        <f>132467+593</f>
        <v>133060</v>
      </c>
      <c r="D32" s="3"/>
    </row>
    <row r="33" spans="1:6" ht="13.5" customHeight="1" x14ac:dyDescent="0.2">
      <c r="A33" s="5" t="s">
        <v>33</v>
      </c>
      <c r="B33" s="80">
        <f>142969+85</f>
        <v>143054</v>
      </c>
      <c r="C33" s="80">
        <f>157064+103</f>
        <v>157167</v>
      </c>
      <c r="D33" s="3"/>
    </row>
    <row r="34" spans="1:6" ht="13.5" customHeight="1" x14ac:dyDescent="0.2">
      <c r="A34" s="5" t="s">
        <v>34</v>
      </c>
      <c r="B34" s="59">
        <v>28456</v>
      </c>
      <c r="C34" s="59">
        <v>20753</v>
      </c>
      <c r="D34" s="3"/>
    </row>
    <row r="35" spans="1:6" ht="13.5" customHeight="1" x14ac:dyDescent="0.2">
      <c r="A35" s="7" t="s">
        <v>35</v>
      </c>
      <c r="B35" s="80">
        <f>SUM(B32:B34)</f>
        <v>280482</v>
      </c>
      <c r="C35" s="80">
        <f>SUM(C32:C34)</f>
        <v>310980</v>
      </c>
      <c r="D35" s="3"/>
    </row>
    <row r="36" spans="1:6" ht="13.5" customHeight="1" x14ac:dyDescent="0.2">
      <c r="A36" s="5" t="s">
        <v>36</v>
      </c>
      <c r="B36" s="80">
        <v>330036</v>
      </c>
      <c r="C36" s="80">
        <v>290066</v>
      </c>
      <c r="D36" s="3"/>
    </row>
    <row r="37" spans="1:6" ht="13.5" customHeight="1" x14ac:dyDescent="0.2">
      <c r="A37" s="5" t="s">
        <v>37</v>
      </c>
      <c r="B37" s="80">
        <v>239969</v>
      </c>
      <c r="C37" s="80">
        <v>242432</v>
      </c>
      <c r="D37" s="3"/>
    </row>
    <row r="38" spans="1:6" ht="13.5" customHeight="1" x14ac:dyDescent="0.2">
      <c r="A38" s="5" t="s">
        <v>38</v>
      </c>
      <c r="B38" s="80">
        <v>18897</v>
      </c>
      <c r="C38" s="80">
        <v>5476</v>
      </c>
      <c r="D38" s="3"/>
    </row>
    <row r="39" spans="1:6" ht="13.5" customHeight="1" x14ac:dyDescent="0.2">
      <c r="A39" s="5" t="s">
        <v>39</v>
      </c>
      <c r="B39" s="80">
        <v>80069</v>
      </c>
      <c r="C39" s="80">
        <v>80567</v>
      </c>
      <c r="D39" s="3"/>
    </row>
    <row r="40" spans="1:6" ht="13.5" customHeight="1" x14ac:dyDescent="0.2">
      <c r="A40" s="5" t="s">
        <v>40</v>
      </c>
      <c r="B40" s="80">
        <v>218626</v>
      </c>
      <c r="C40" s="80">
        <v>215599</v>
      </c>
      <c r="D40" s="3"/>
    </row>
    <row r="41" spans="1:6" ht="13.5" hidden="1" customHeight="1" x14ac:dyDescent="0.2">
      <c r="A41" s="5" t="s">
        <v>23</v>
      </c>
      <c r="B41" s="80"/>
      <c r="C41" s="80"/>
      <c r="D41" s="3"/>
    </row>
    <row r="42" spans="1:6" ht="13.5" customHeight="1" x14ac:dyDescent="0.2">
      <c r="A42" s="5" t="s">
        <v>41</v>
      </c>
      <c r="B42" s="59">
        <f>95616+45+2</f>
        <v>95663</v>
      </c>
      <c r="C42" s="59">
        <f>82051+45+4</f>
        <v>82100</v>
      </c>
      <c r="D42" s="3"/>
    </row>
    <row r="43" spans="1:6" ht="13.5" customHeight="1" x14ac:dyDescent="0.2">
      <c r="A43" s="7" t="s">
        <v>73</v>
      </c>
      <c r="B43" s="80">
        <f>SUM(B35:B42)</f>
        <v>1263742</v>
      </c>
      <c r="C43" s="80">
        <f>SUM(C35:C42)</f>
        <v>1227220</v>
      </c>
      <c r="D43" s="9"/>
    </row>
    <row r="44" spans="1:6" ht="13.5" customHeight="1" x14ac:dyDescent="0.2">
      <c r="A44" s="3"/>
      <c r="B44" s="94"/>
      <c r="C44" s="56"/>
      <c r="D44" s="3"/>
    </row>
    <row r="45" spans="1:6" ht="13.5" customHeight="1" x14ac:dyDescent="0.2">
      <c r="A45" s="4" t="s">
        <v>89</v>
      </c>
      <c r="B45" s="94"/>
      <c r="C45" s="56"/>
      <c r="D45" s="3"/>
    </row>
    <row r="46" spans="1:6" ht="13.5" customHeight="1" x14ac:dyDescent="0.2">
      <c r="A46" s="5" t="s">
        <v>42</v>
      </c>
      <c r="B46" s="80">
        <v>252</v>
      </c>
      <c r="C46" s="80">
        <v>252</v>
      </c>
      <c r="D46" s="3"/>
    </row>
    <row r="47" spans="1:6" ht="13.5" customHeight="1" x14ac:dyDescent="0.2">
      <c r="A47" s="5" t="s">
        <v>43</v>
      </c>
      <c r="B47" s="80">
        <v>734315</v>
      </c>
      <c r="C47" s="80">
        <v>730551</v>
      </c>
      <c r="D47" s="3"/>
    </row>
    <row r="48" spans="1:6" ht="13.5" customHeight="1" x14ac:dyDescent="0.2">
      <c r="A48" s="5" t="s">
        <v>95</v>
      </c>
      <c r="B48" s="80">
        <v>698292</v>
      </c>
      <c r="C48" s="80">
        <v>731425</v>
      </c>
      <c r="D48" s="9"/>
      <c r="F48" s="95"/>
    </row>
    <row r="49" spans="1:7" s="120" customFormat="1" ht="13.5" customHeight="1" x14ac:dyDescent="0.2">
      <c r="A49" s="5" t="s">
        <v>96</v>
      </c>
      <c r="B49" s="80">
        <v>-827381</v>
      </c>
      <c r="C49" s="80">
        <v>-827381</v>
      </c>
      <c r="D49" s="9"/>
      <c r="E49" s="77"/>
      <c r="F49" s="95"/>
    </row>
    <row r="50" spans="1:7" ht="13.5" customHeight="1" x14ac:dyDescent="0.2">
      <c r="A50" s="5" t="s">
        <v>201</v>
      </c>
      <c r="B50" s="59">
        <v>-11714</v>
      </c>
      <c r="C50" s="59">
        <v>5689</v>
      </c>
      <c r="D50" s="76"/>
    </row>
    <row r="51" spans="1:7" ht="13.5" customHeight="1" x14ac:dyDescent="0.2">
      <c r="A51" s="7" t="s">
        <v>92</v>
      </c>
      <c r="B51" s="61">
        <f>SUM(B46:B50)</f>
        <v>593764</v>
      </c>
      <c r="C51" s="61">
        <f>SUM(C46:C50)</f>
        <v>640536</v>
      </c>
      <c r="D51" s="3"/>
    </row>
    <row r="52" spans="1:7" ht="13.5" customHeight="1" thickBot="1" x14ac:dyDescent="0.25">
      <c r="A52" s="8" t="s">
        <v>93</v>
      </c>
      <c r="B52" s="60">
        <f>+B43+B51</f>
        <v>1857506</v>
      </c>
      <c r="C52" s="60">
        <f>+C43+C51</f>
        <v>1867756</v>
      </c>
      <c r="D52" s="3"/>
    </row>
    <row r="53" spans="1:7" ht="13.5" customHeight="1" thickTop="1" x14ac:dyDescent="0.2">
      <c r="A53" s="3"/>
      <c r="B53" s="3"/>
      <c r="C53" s="3"/>
      <c r="D53" s="3"/>
    </row>
    <row r="54" spans="1:7" ht="13.5" customHeight="1" x14ac:dyDescent="0.2">
      <c r="B54" s="32"/>
      <c r="C54" s="32"/>
    </row>
    <row r="55" spans="1:7" ht="13.5" customHeight="1" x14ac:dyDescent="0.2">
      <c r="B55" s="81"/>
      <c r="C55" s="32"/>
      <c r="E55" s="77" t="s">
        <v>100</v>
      </c>
      <c r="F55" s="81">
        <f>C48</f>
        <v>731425</v>
      </c>
    </row>
    <row r="56" spans="1:7" ht="13.5" customHeight="1" x14ac:dyDescent="0.2">
      <c r="B56" s="32"/>
      <c r="E56" s="77" t="s">
        <v>101</v>
      </c>
      <c r="F56" s="81">
        <f>'Income Statement'!B42</f>
        <v>-25299</v>
      </c>
    </row>
    <row r="57" spans="1:7" ht="13.5" customHeight="1" x14ac:dyDescent="0.2">
      <c r="B57" s="32"/>
      <c r="E57" s="77" t="s">
        <v>102</v>
      </c>
      <c r="F57" s="133">
        <f>-F61-F62</f>
        <v>-7834</v>
      </c>
      <c r="G57" s="77"/>
    </row>
    <row r="58" spans="1:7" ht="13.5" customHeight="1" x14ac:dyDescent="0.2">
      <c r="B58" s="32"/>
      <c r="F58" s="81"/>
    </row>
    <row r="59" spans="1:7" ht="13.5" customHeight="1" thickBot="1" x14ac:dyDescent="0.25">
      <c r="F59" s="134">
        <f>SUM(F55:F58)</f>
        <v>698292</v>
      </c>
    </row>
    <row r="60" spans="1:7" ht="13.5" customHeight="1" thickTop="1" x14ac:dyDescent="0.2">
      <c r="F60" s="81"/>
    </row>
    <row r="61" spans="1:7" ht="13.5" customHeight="1" x14ac:dyDescent="0.2">
      <c r="E61" s="77" t="s">
        <v>47</v>
      </c>
      <c r="F61" s="81">
        <v>7571</v>
      </c>
    </row>
    <row r="62" spans="1:7" ht="13.5" customHeight="1" x14ac:dyDescent="0.2">
      <c r="E62" s="77" t="s">
        <v>103</v>
      </c>
      <c r="F62" s="32">
        <v>263</v>
      </c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U90"/>
  <sheetViews>
    <sheetView tabSelected="1" topLeftCell="A10" workbookViewId="0">
      <selection activeCell="A40" sqref="A40"/>
    </sheetView>
  </sheetViews>
  <sheetFormatPr defaultColWidth="21.5" defaultRowHeight="12.75" x14ac:dyDescent="0.2"/>
  <cols>
    <col min="1" max="1" width="75.6640625" style="14" customWidth="1"/>
    <col min="2" max="2" width="17.5" style="14" customWidth="1"/>
    <col min="3" max="3" width="17.5" style="28" customWidth="1"/>
    <col min="4" max="4" width="21.5" style="14" customWidth="1"/>
    <col min="5" max="5" width="25.83203125" style="14" hidden="1" customWidth="1"/>
    <col min="6" max="6" width="25.83203125" style="209" hidden="1" customWidth="1"/>
    <col min="7" max="16384" width="21.5" style="14"/>
  </cols>
  <sheetData>
    <row r="1" spans="1:21" ht="14.25" customHeight="1" x14ac:dyDescent="0.25">
      <c r="A1" s="260" t="s">
        <v>0</v>
      </c>
      <c r="B1" s="265"/>
      <c r="C1" s="265"/>
      <c r="D1" s="12"/>
      <c r="E1" s="12"/>
      <c r="F1" s="208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4.25" customHeight="1" x14ac:dyDescent="0.25">
      <c r="A2" s="260" t="s">
        <v>61</v>
      </c>
      <c r="B2" s="265"/>
      <c r="C2" s="265"/>
      <c r="D2" s="12"/>
      <c r="E2" s="12"/>
      <c r="F2" s="208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4.25" customHeight="1" x14ac:dyDescent="0.25">
      <c r="A3" s="260" t="s">
        <v>13</v>
      </c>
      <c r="B3" s="265"/>
      <c r="C3" s="265"/>
      <c r="D3" s="12"/>
      <c r="E3" s="12"/>
      <c r="F3" s="208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6.75" customHeight="1" x14ac:dyDescent="0.2">
      <c r="A4" s="13"/>
      <c r="B4" s="12"/>
      <c r="C4" s="16"/>
      <c r="D4" s="12"/>
      <c r="E4" s="12"/>
      <c r="F4" s="20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8.75" customHeight="1" x14ac:dyDescent="0.2">
      <c r="A5" s="12"/>
      <c r="B5" s="12"/>
      <c r="C5" s="16"/>
      <c r="D5" s="12"/>
      <c r="E5" s="12"/>
      <c r="F5" s="208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13.5" customHeight="1" x14ac:dyDescent="0.2">
      <c r="A6" s="12"/>
      <c r="B6" s="262" t="s">
        <v>186</v>
      </c>
      <c r="C6" s="262"/>
      <c r="D6" s="12"/>
      <c r="E6" s="211" t="s">
        <v>195</v>
      </c>
      <c r="F6" s="211" t="s">
        <v>143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">
      <c r="A7" s="12"/>
      <c r="B7" s="100">
        <v>2020</v>
      </c>
      <c r="C7" s="185">
        <v>2019</v>
      </c>
      <c r="D7" s="12"/>
      <c r="E7" s="210" t="s">
        <v>196</v>
      </c>
      <c r="F7" s="210" t="s">
        <v>197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13.5" customHeight="1" x14ac:dyDescent="0.2">
      <c r="A8" s="12"/>
      <c r="B8" s="263" t="s">
        <v>2</v>
      </c>
      <c r="C8" s="263"/>
      <c r="D8" s="12"/>
      <c r="E8" s="12"/>
      <c r="F8" s="208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ht="13.5" customHeight="1" x14ac:dyDescent="0.2">
      <c r="A9" s="15" t="s">
        <v>60</v>
      </c>
      <c r="B9" s="16"/>
      <c r="C9" s="16"/>
      <c r="D9" s="12"/>
      <c r="E9" s="12"/>
      <c r="F9" s="208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13.5" customHeight="1" x14ac:dyDescent="0.2">
      <c r="A10" s="11" t="s">
        <v>176</v>
      </c>
      <c r="B10" s="104">
        <f>'Income Statement'!B42</f>
        <v>-25299</v>
      </c>
      <c r="C10" s="104">
        <f>'Income Statement'!C42</f>
        <v>72741</v>
      </c>
      <c r="D10" s="9"/>
      <c r="E10" s="104">
        <v>0</v>
      </c>
      <c r="F10" s="104">
        <f>B10-E10</f>
        <v>-25299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3.5" customHeight="1" x14ac:dyDescent="0.2">
      <c r="A11" s="11" t="s">
        <v>202</v>
      </c>
      <c r="B11" s="83"/>
      <c r="C11" s="83"/>
      <c r="D11" s="12"/>
      <c r="E11" s="83"/>
      <c r="F11" s="83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13.5" customHeight="1" x14ac:dyDescent="0.2">
      <c r="A12" s="5" t="s">
        <v>5</v>
      </c>
      <c r="B12" s="80">
        <f>'Income Statement'!B14</f>
        <v>31308</v>
      </c>
      <c r="C12" s="80">
        <f>'Income Statement'!C14</f>
        <v>25273</v>
      </c>
      <c r="D12" s="12"/>
      <c r="E12" s="19">
        <v>0</v>
      </c>
      <c r="F12" s="19">
        <f>B12-E12</f>
        <v>31308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s="86" customFormat="1" ht="13.5" customHeight="1" x14ac:dyDescent="0.2">
      <c r="A13" s="5" t="s">
        <v>75</v>
      </c>
      <c r="B13" s="80">
        <f>'Income Statement'!B15</f>
        <v>5006</v>
      </c>
      <c r="C13" s="80">
        <f>'Income Statement'!C15</f>
        <v>5137</v>
      </c>
      <c r="D13" s="85"/>
      <c r="E13" s="19">
        <v>0</v>
      </c>
      <c r="F13" s="19">
        <f t="shared" ref="F13:F18" si="0">B13-E13</f>
        <v>5006</v>
      </c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</row>
    <row r="14" spans="1:21" s="68" customFormat="1" ht="13.5" hidden="1" customHeight="1" x14ac:dyDescent="0.2">
      <c r="A14" s="5" t="s">
        <v>23</v>
      </c>
      <c r="B14" s="80">
        <v>0</v>
      </c>
      <c r="C14" s="80">
        <v>0</v>
      </c>
      <c r="D14" s="9"/>
      <c r="E14" s="80">
        <v>0</v>
      </c>
      <c r="F14" s="19">
        <f t="shared" si="0"/>
        <v>0</v>
      </c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</row>
    <row r="15" spans="1:21" ht="13.5" customHeight="1" x14ac:dyDescent="0.2">
      <c r="A15" s="5" t="s">
        <v>59</v>
      </c>
      <c r="B15" s="80">
        <v>3962</v>
      </c>
      <c r="C15" s="80">
        <v>5651</v>
      </c>
      <c r="D15" s="12"/>
      <c r="E15" s="80">
        <v>0</v>
      </c>
      <c r="F15" s="19">
        <f t="shared" si="0"/>
        <v>3962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s="68" customFormat="1" ht="13.5" customHeight="1" x14ac:dyDescent="0.2">
      <c r="A16" s="5" t="s">
        <v>198</v>
      </c>
      <c r="B16" s="80">
        <v>-214</v>
      </c>
      <c r="C16" s="80">
        <v>-475</v>
      </c>
      <c r="D16" s="67"/>
      <c r="E16" s="80">
        <v>0</v>
      </c>
      <c r="F16" s="19">
        <f t="shared" si="0"/>
        <v>-214</v>
      </c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7" spans="1:21" ht="13.5" customHeight="1" x14ac:dyDescent="0.2">
      <c r="A17" s="5" t="s">
        <v>58</v>
      </c>
      <c r="B17" s="80">
        <v>971</v>
      </c>
      <c r="C17" s="80">
        <v>907</v>
      </c>
      <c r="D17" s="12"/>
      <c r="E17" s="80">
        <v>0</v>
      </c>
      <c r="F17" s="19">
        <f t="shared" si="0"/>
        <v>971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s="233" customFormat="1" ht="13.5" customHeight="1" x14ac:dyDescent="0.2">
      <c r="A18" s="41" t="s">
        <v>200</v>
      </c>
      <c r="B18" s="80">
        <v>-9000</v>
      </c>
      <c r="C18" s="80">
        <v>0</v>
      </c>
      <c r="D18" s="232"/>
      <c r="E18" s="80">
        <v>0</v>
      </c>
      <c r="F18" s="19">
        <f t="shared" si="0"/>
        <v>-9000</v>
      </c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</row>
    <row r="19" spans="1:21" ht="13.5" customHeight="1" x14ac:dyDescent="0.2">
      <c r="A19" s="5" t="s">
        <v>57</v>
      </c>
      <c r="B19" s="94"/>
      <c r="C19" s="94"/>
      <c r="D19" s="12"/>
      <c r="E19" s="94"/>
      <c r="F19" s="83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ht="13.5" customHeight="1" x14ac:dyDescent="0.2">
      <c r="A20" s="7" t="s">
        <v>56</v>
      </c>
      <c r="B20" s="80">
        <v>23728</v>
      </c>
      <c r="C20" s="80">
        <v>7410</v>
      </c>
      <c r="D20" s="12"/>
      <c r="E20" s="80">
        <v>0</v>
      </c>
      <c r="F20" s="19">
        <f t="shared" ref="F20:F24" si="1">B20-E20</f>
        <v>23728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ht="13.5" customHeight="1" x14ac:dyDescent="0.2">
      <c r="A21" s="7" t="s">
        <v>20</v>
      </c>
      <c r="B21" s="80">
        <v>-19088</v>
      </c>
      <c r="C21" s="80">
        <v>-20137</v>
      </c>
      <c r="D21" s="12"/>
      <c r="E21" s="80">
        <v>0</v>
      </c>
      <c r="F21" s="19">
        <f t="shared" si="1"/>
        <v>-19088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ht="13.5" customHeight="1" x14ac:dyDescent="0.2">
      <c r="A22" s="7" t="s">
        <v>55</v>
      </c>
      <c r="B22" s="80">
        <v>-39201</v>
      </c>
      <c r="C22" s="80">
        <v>-17861</v>
      </c>
      <c r="D22" s="9"/>
      <c r="E22" s="80">
        <v>0</v>
      </c>
      <c r="F22" s="19">
        <f t="shared" si="1"/>
        <v>-39201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 s="70" customFormat="1" ht="13.5" customHeight="1" x14ac:dyDescent="0.2">
      <c r="A23" s="7" t="s">
        <v>91</v>
      </c>
      <c r="B23" s="80">
        <f>-1054-19</f>
        <v>-1073</v>
      </c>
      <c r="C23" s="80">
        <v>76</v>
      </c>
      <c r="D23" s="9"/>
      <c r="E23" s="80">
        <v>0</v>
      </c>
      <c r="F23" s="19">
        <f t="shared" si="1"/>
        <v>-1073</v>
      </c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</row>
    <row r="24" spans="1:21" ht="13.5" customHeight="1" x14ac:dyDescent="0.2">
      <c r="A24" s="22" t="s">
        <v>46</v>
      </c>
      <c r="B24" s="80">
        <f>62+51+138-20-1693+1484+768-2423+3326-1029+16805+1-605</f>
        <v>16865</v>
      </c>
      <c r="C24" s="80">
        <f>6197+65</f>
        <v>6262</v>
      </c>
      <c r="D24" s="9"/>
      <c r="E24" s="80">
        <v>0</v>
      </c>
      <c r="F24" s="19">
        <f t="shared" si="1"/>
        <v>16865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ht="13.5" customHeight="1" x14ac:dyDescent="0.2">
      <c r="A25" s="18" t="s">
        <v>199</v>
      </c>
      <c r="B25" s="105">
        <f>SUM(B10:B24)</f>
        <v>-12035</v>
      </c>
      <c r="C25" s="105">
        <f>SUM(C10:C24)</f>
        <v>84984</v>
      </c>
      <c r="D25" s="6"/>
      <c r="E25" s="62">
        <f>SUM(E10:E24)</f>
        <v>0</v>
      </c>
      <c r="F25" s="62">
        <f>SUM(F10:F24)</f>
        <v>-12035</v>
      </c>
      <c r="G25" s="12"/>
      <c r="H25" s="9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13.5" customHeight="1" x14ac:dyDescent="0.2">
      <c r="A26" s="12"/>
      <c r="B26" s="94"/>
      <c r="C26" s="94"/>
      <c r="D26" s="12"/>
      <c r="E26" s="148"/>
      <c r="F26" s="148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ht="13.5" customHeight="1" x14ac:dyDescent="0.2">
      <c r="A27" s="15" t="s">
        <v>54</v>
      </c>
      <c r="B27" s="94"/>
      <c r="C27" s="94"/>
      <c r="D27" s="12"/>
      <c r="E27" s="83"/>
      <c r="F27" s="83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ht="13.5" customHeight="1" x14ac:dyDescent="0.2">
      <c r="A28" s="5" t="s">
        <v>53</v>
      </c>
      <c r="B28" s="80">
        <v>-87690</v>
      </c>
      <c r="C28" s="80">
        <v>-39147</v>
      </c>
      <c r="D28" s="12"/>
      <c r="E28" s="80">
        <v>0</v>
      </c>
      <c r="F28" s="19">
        <f t="shared" ref="F28:F33" si="2">B28-E28</f>
        <v>-87690</v>
      </c>
      <c r="G28" s="12"/>
      <c r="H28" s="9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ht="13.5" customHeight="1" x14ac:dyDescent="0.2">
      <c r="A29" s="5" t="s">
        <v>74</v>
      </c>
      <c r="B29" s="80">
        <v>-62</v>
      </c>
      <c r="C29" s="80">
        <v>-63</v>
      </c>
      <c r="D29" s="12"/>
      <c r="E29" s="80">
        <v>0</v>
      </c>
      <c r="F29" s="19">
        <f t="shared" si="2"/>
        <v>-62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ht="13.5" customHeight="1" x14ac:dyDescent="0.2">
      <c r="A30" s="5" t="s">
        <v>142</v>
      </c>
      <c r="B30" s="80">
        <v>233</v>
      </c>
      <c r="C30" s="80">
        <v>608</v>
      </c>
      <c r="D30" s="12"/>
      <c r="E30" s="80">
        <v>0</v>
      </c>
      <c r="F30" s="19">
        <f t="shared" si="2"/>
        <v>233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ht="13.5" customHeight="1" x14ac:dyDescent="0.2">
      <c r="A31" s="5" t="s">
        <v>52</v>
      </c>
      <c r="B31" s="80">
        <v>-17196</v>
      </c>
      <c r="C31" s="80">
        <v>-27902</v>
      </c>
      <c r="D31" s="12"/>
      <c r="E31" s="80">
        <v>0</v>
      </c>
      <c r="F31" s="19">
        <f t="shared" si="2"/>
        <v>-17196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ht="13.5" customHeight="1" x14ac:dyDescent="0.2">
      <c r="A32" s="5" t="s">
        <v>51</v>
      </c>
      <c r="B32" s="80">
        <v>23221</v>
      </c>
      <c r="C32" s="80">
        <v>26500</v>
      </c>
      <c r="D32" s="12"/>
      <c r="E32" s="80">
        <v>0</v>
      </c>
      <c r="F32" s="19">
        <f t="shared" si="2"/>
        <v>23221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ht="13.5" customHeight="1" x14ac:dyDescent="0.2">
      <c r="A33" s="5" t="s">
        <v>50</v>
      </c>
      <c r="B33" s="80">
        <v>-739</v>
      </c>
      <c r="C33" s="80">
        <v>-2196</v>
      </c>
      <c r="D33" s="12"/>
      <c r="E33" s="59">
        <v>0</v>
      </c>
      <c r="F33" s="58">
        <f t="shared" si="2"/>
        <v>-739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s="256" customFormat="1" ht="13.5" customHeight="1" x14ac:dyDescent="0.2">
      <c r="A34" s="41" t="s">
        <v>200</v>
      </c>
      <c r="B34" s="257">
        <v>7353</v>
      </c>
      <c r="C34" s="257">
        <v>0</v>
      </c>
      <c r="D34" s="255"/>
      <c r="E34" s="80"/>
      <c r="F34" s="19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</row>
    <row r="35" spans="1:21" ht="13.5" customHeight="1" x14ac:dyDescent="0.2">
      <c r="A35" s="18" t="s">
        <v>161</v>
      </c>
      <c r="B35" s="80">
        <f>SUM(B28:B34)</f>
        <v>-74880</v>
      </c>
      <c r="C35" s="80">
        <f>SUM(C28:C34)</f>
        <v>-42200</v>
      </c>
      <c r="D35" s="9"/>
      <c r="E35" s="19">
        <f>SUM(E28:E33)</f>
        <v>0</v>
      </c>
      <c r="F35" s="19">
        <f>SUM(F28:F33)</f>
        <v>-82233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1:21" ht="13.5" customHeight="1" x14ac:dyDescent="0.2">
      <c r="A36" s="12"/>
      <c r="B36" s="94"/>
      <c r="C36" s="94"/>
      <c r="D36" s="12"/>
      <c r="E36" s="83"/>
      <c r="F36" s="83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1" ht="13.5" customHeight="1" x14ac:dyDescent="0.2">
      <c r="A37" s="15" t="s">
        <v>49</v>
      </c>
      <c r="B37" s="94"/>
      <c r="C37" s="94"/>
      <c r="D37" s="12"/>
      <c r="E37" s="83"/>
      <c r="F37" s="83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1" s="188" customFormat="1" ht="13.5" customHeight="1" x14ac:dyDescent="0.2">
      <c r="A38" s="5" t="s">
        <v>130</v>
      </c>
      <c r="B38" s="80">
        <v>-750</v>
      </c>
      <c r="C38" s="80">
        <v>-750</v>
      </c>
      <c r="D38" s="187"/>
      <c r="E38" s="80">
        <v>0</v>
      </c>
      <c r="F38" s="19">
        <f t="shared" ref="F38:F45" si="3">B38-E38</f>
        <v>-750</v>
      </c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</row>
    <row r="39" spans="1:21" s="259" customFormat="1" ht="13.5" customHeight="1" x14ac:dyDescent="0.2">
      <c r="A39" s="5" t="s">
        <v>203</v>
      </c>
      <c r="B39" s="80">
        <v>53611</v>
      </c>
      <c r="C39" s="80">
        <v>0</v>
      </c>
      <c r="D39" s="258"/>
      <c r="E39" s="80"/>
      <c r="F39" s="19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</row>
    <row r="40" spans="1:21" ht="13.5" customHeight="1" x14ac:dyDescent="0.2">
      <c r="A40" s="5" t="s">
        <v>204</v>
      </c>
      <c r="B40" s="80">
        <f>48067-53611</f>
        <v>-5544</v>
      </c>
      <c r="C40" s="80">
        <v>-4633</v>
      </c>
      <c r="D40" s="12"/>
      <c r="E40" s="80">
        <v>0</v>
      </c>
      <c r="F40" s="19">
        <f t="shared" si="3"/>
        <v>-5544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1:21" s="86" customFormat="1" ht="13.5" customHeight="1" x14ac:dyDescent="0.2">
      <c r="A41" s="5" t="s">
        <v>48</v>
      </c>
      <c r="B41" s="80">
        <v>-422</v>
      </c>
      <c r="C41" s="80">
        <v>0</v>
      </c>
      <c r="D41" s="85"/>
      <c r="E41" s="80">
        <v>0</v>
      </c>
      <c r="F41" s="19">
        <f t="shared" si="3"/>
        <v>-422</v>
      </c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</row>
    <row r="42" spans="1:21" ht="13.5" customHeight="1" x14ac:dyDescent="0.2">
      <c r="A42" s="5" t="s">
        <v>47</v>
      </c>
      <c r="B42" s="80">
        <v>-7645</v>
      </c>
      <c r="C42" s="80">
        <v>-7839</v>
      </c>
      <c r="D42" s="12"/>
      <c r="E42" s="80">
        <v>0</v>
      </c>
      <c r="F42" s="19">
        <f t="shared" si="3"/>
        <v>-7645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1:21" s="24" customFormat="1" ht="13.5" customHeight="1" x14ac:dyDescent="0.2">
      <c r="A43" s="5" t="s">
        <v>97</v>
      </c>
      <c r="B43" s="80">
        <v>0</v>
      </c>
      <c r="C43" s="80">
        <v>-75749</v>
      </c>
      <c r="D43" s="23"/>
      <c r="E43" s="80">
        <v>0</v>
      </c>
      <c r="F43" s="19">
        <f t="shared" si="3"/>
        <v>0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</row>
    <row r="44" spans="1:21" s="240" customFormat="1" ht="13.5" customHeight="1" x14ac:dyDescent="0.2">
      <c r="A44" s="5" t="s">
        <v>179</v>
      </c>
      <c r="B44" s="257">
        <v>-198</v>
      </c>
      <c r="C44" s="257">
        <v>0</v>
      </c>
      <c r="D44" s="239"/>
      <c r="E44" s="80">
        <v>0</v>
      </c>
      <c r="F44" s="19">
        <f t="shared" si="3"/>
        <v>-198</v>
      </c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</row>
    <row r="45" spans="1:21" s="39" customFormat="1" ht="13.5" hidden="1" customHeight="1" x14ac:dyDescent="0.2">
      <c r="A45" s="5" t="s">
        <v>46</v>
      </c>
      <c r="B45" s="59">
        <v>0</v>
      </c>
      <c r="C45" s="59">
        <v>0</v>
      </c>
      <c r="D45" s="38"/>
      <c r="E45" s="59">
        <v>0</v>
      </c>
      <c r="F45" s="58">
        <f t="shared" si="3"/>
        <v>0</v>
      </c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spans="1:21" ht="13.5" customHeight="1" x14ac:dyDescent="0.2">
      <c r="A46" s="7" t="s">
        <v>194</v>
      </c>
      <c r="B46" s="59">
        <f>SUM(B38:B45)</f>
        <v>39052</v>
      </c>
      <c r="C46" s="59">
        <f>SUM(C38:C45)</f>
        <v>-88971</v>
      </c>
      <c r="D46" s="12"/>
      <c r="E46" s="58">
        <f>SUM(E38:E45)</f>
        <v>0</v>
      </c>
      <c r="F46" s="58">
        <f>SUM(F38:F45)</f>
        <v>-14559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1:21" ht="13.5" customHeight="1" x14ac:dyDescent="0.2">
      <c r="A47" s="12"/>
      <c r="B47" s="94"/>
      <c r="C47" s="94"/>
      <c r="D47" s="12"/>
      <c r="E47" s="83"/>
      <c r="F47" s="83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1:21" ht="13.5" customHeight="1" x14ac:dyDescent="0.2">
      <c r="A48" s="11" t="s">
        <v>181</v>
      </c>
      <c r="B48" s="80">
        <f>+B46+B35+B25</f>
        <v>-47863</v>
      </c>
      <c r="C48" s="80">
        <f>C25+C35+C46</f>
        <v>-46187</v>
      </c>
      <c r="D48" s="12"/>
      <c r="E48" s="19">
        <f>+E46+E35+E25</f>
        <v>0</v>
      </c>
      <c r="F48" s="19">
        <f>+F46+F35+F25</f>
        <v>-108827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1:21" ht="13.5" customHeight="1" x14ac:dyDescent="0.2">
      <c r="A49" s="11" t="s">
        <v>164</v>
      </c>
      <c r="B49" s="59">
        <v>153020</v>
      </c>
      <c r="C49" s="59">
        <v>264937</v>
      </c>
      <c r="D49" s="12"/>
      <c r="E49" s="58">
        <v>0</v>
      </c>
      <c r="F49" s="58">
        <v>175428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1:21" ht="13.5" customHeight="1" x14ac:dyDescent="0.2">
      <c r="A50" s="12"/>
      <c r="B50" s="83"/>
      <c r="C50" s="83"/>
      <c r="D50" s="12"/>
      <c r="E50" s="83"/>
      <c r="F50" s="83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1" ht="13.5" customHeight="1" thickBot="1" x14ac:dyDescent="0.25">
      <c r="A51" s="11" t="s">
        <v>165</v>
      </c>
      <c r="B51" s="51">
        <f>+B48+B49</f>
        <v>105157</v>
      </c>
      <c r="C51" s="51">
        <f>SUM(C48:C49)</f>
        <v>218750</v>
      </c>
      <c r="D51" s="12"/>
      <c r="E51" s="51">
        <f>+E48+E49</f>
        <v>0</v>
      </c>
      <c r="F51" s="51">
        <f>+F48+F49</f>
        <v>66601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1" ht="18.75" customHeight="1" thickTop="1" x14ac:dyDescent="0.2">
      <c r="A52" s="12"/>
      <c r="B52" s="52"/>
      <c r="C52" s="83"/>
      <c r="D52" s="12"/>
      <c r="E52" s="207"/>
      <c r="F52" s="207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1:21" ht="18.75" customHeight="1" x14ac:dyDescent="0.2">
      <c r="A53" s="189" t="s">
        <v>132</v>
      </c>
      <c r="B53" s="57"/>
      <c r="C53" s="80"/>
      <c r="D53" s="12"/>
      <c r="E53" s="57"/>
      <c r="F53" s="57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1" ht="18.75" customHeight="1" x14ac:dyDescent="0.2">
      <c r="A54" s="5" t="s">
        <v>16</v>
      </c>
      <c r="B54" s="63">
        <f>'Balance Sheet'!B11</f>
        <v>105157</v>
      </c>
      <c r="C54" s="151">
        <v>218750</v>
      </c>
      <c r="D54" s="12"/>
      <c r="E54" s="63">
        <v>0</v>
      </c>
      <c r="F54" s="63">
        <v>153020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1:21" ht="18.75" customHeight="1" x14ac:dyDescent="0.2">
      <c r="A55" s="5" t="s">
        <v>129</v>
      </c>
      <c r="B55" s="59">
        <v>0</v>
      </c>
      <c r="C55" s="190">
        <v>0</v>
      </c>
      <c r="D55" s="12"/>
      <c r="E55" s="58">
        <v>0</v>
      </c>
      <c r="F55" s="58">
        <v>0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1:21" ht="13.5" customHeight="1" x14ac:dyDescent="0.2">
      <c r="A56" s="12"/>
      <c r="B56" s="63"/>
      <c r="C56" s="151"/>
      <c r="D56" s="12"/>
      <c r="E56" s="63"/>
      <c r="F56" s="63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1:21" ht="18.75" customHeight="1" thickBot="1" x14ac:dyDescent="0.25">
      <c r="A57" s="12"/>
      <c r="B57" s="191">
        <f>SUM(B54:B56)</f>
        <v>105157</v>
      </c>
      <c r="C57" s="191">
        <f>SUM(C54:C56)</f>
        <v>218750</v>
      </c>
      <c r="D57" s="12"/>
      <c r="E57" s="191">
        <f>SUM(E54:E56)</f>
        <v>0</v>
      </c>
      <c r="F57" s="191">
        <f>SUM(F54:F56)</f>
        <v>153020</v>
      </c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1" ht="18.75" customHeight="1" thickTop="1" x14ac:dyDescent="0.2">
      <c r="A58" s="12"/>
      <c r="B58" s="52"/>
      <c r="C58" s="83"/>
      <c r="D58" s="12"/>
      <c r="E58" s="12"/>
      <c r="F58" s="208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1" ht="18.75" customHeight="1" x14ac:dyDescent="0.2">
      <c r="A59" s="12"/>
      <c r="B59" s="63"/>
      <c r="C59" s="83"/>
      <c r="D59" s="12"/>
      <c r="E59" s="12"/>
      <c r="F59" s="208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1:21" ht="18.75" customHeight="1" x14ac:dyDescent="0.2">
      <c r="A60" s="12"/>
      <c r="B60" s="52"/>
      <c r="C60" s="83"/>
      <c r="D60" s="12"/>
      <c r="E60" s="12"/>
      <c r="F60" s="208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1:21" ht="18.75" customHeight="1" x14ac:dyDescent="0.2">
      <c r="A61" s="12"/>
      <c r="B61" s="52"/>
      <c r="C61" s="83"/>
      <c r="D61" s="12"/>
      <c r="E61" s="12"/>
      <c r="F61" s="208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ht="18.75" customHeight="1" x14ac:dyDescent="0.2">
      <c r="A62" s="12"/>
      <c r="B62" s="52"/>
      <c r="C62" s="83"/>
      <c r="D62" s="12"/>
      <c r="E62" s="12"/>
      <c r="F62" s="208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spans="1:21" ht="18.75" customHeight="1" x14ac:dyDescent="0.2">
      <c r="A63" s="12"/>
      <c r="B63" s="52"/>
      <c r="C63" s="83"/>
      <c r="D63" s="12"/>
      <c r="E63" s="12"/>
      <c r="F63" s="208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1:21" ht="18.75" customHeight="1" x14ac:dyDescent="0.2">
      <c r="A64" s="12"/>
      <c r="B64" s="52"/>
      <c r="C64" s="83"/>
      <c r="D64" s="12"/>
      <c r="E64" s="12"/>
      <c r="F64" s="208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 ht="18.75" customHeight="1" x14ac:dyDescent="0.2">
      <c r="A65" s="12"/>
      <c r="B65" s="52"/>
      <c r="C65" s="83"/>
      <c r="D65" s="12"/>
      <c r="E65" s="12"/>
      <c r="F65" s="208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1:21" ht="18.75" customHeight="1" x14ac:dyDescent="0.2">
      <c r="A66" s="12"/>
      <c r="B66" s="52"/>
      <c r="C66" s="83"/>
      <c r="D66" s="12"/>
      <c r="E66" s="12"/>
      <c r="F66" s="208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 ht="18.75" customHeight="1" x14ac:dyDescent="0.2">
      <c r="A67" s="12"/>
      <c r="B67" s="52"/>
      <c r="C67" s="83"/>
      <c r="D67" s="12"/>
      <c r="E67" s="12"/>
      <c r="F67" s="208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</row>
    <row r="68" spans="1:21" ht="18.75" customHeight="1" x14ac:dyDescent="0.2">
      <c r="A68" s="12"/>
      <c r="B68" s="52"/>
      <c r="C68" s="83"/>
      <c r="D68" s="12"/>
      <c r="E68" s="12"/>
      <c r="F68" s="208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1:21" ht="18.75" customHeight="1" x14ac:dyDescent="0.2">
      <c r="A69" s="12"/>
      <c r="B69" s="52"/>
      <c r="C69" s="83"/>
      <c r="D69" s="12"/>
      <c r="E69" s="12"/>
      <c r="F69" s="208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1:21" ht="18.75" customHeight="1" x14ac:dyDescent="0.2">
      <c r="A70" s="12"/>
      <c r="B70" s="12"/>
      <c r="C70" s="16"/>
      <c r="D70" s="12"/>
      <c r="E70" s="12"/>
      <c r="F70" s="208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1" ht="18.75" customHeight="1" x14ac:dyDescent="0.2">
      <c r="A71" s="12"/>
      <c r="B71" s="12"/>
      <c r="C71" s="16"/>
      <c r="D71" s="12"/>
      <c r="E71" s="12"/>
      <c r="F71" s="208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1" ht="18.75" customHeight="1" x14ac:dyDescent="0.2">
      <c r="A72" s="12"/>
      <c r="B72" s="12"/>
      <c r="C72" s="16"/>
      <c r="D72" s="12"/>
      <c r="E72" s="12"/>
      <c r="F72" s="208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1" ht="18.75" customHeight="1" x14ac:dyDescent="0.2">
      <c r="A73" s="12"/>
      <c r="B73" s="12"/>
      <c r="C73" s="16"/>
      <c r="D73" s="12"/>
      <c r="E73" s="12"/>
      <c r="F73" s="208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1:21" ht="18.75" customHeight="1" x14ac:dyDescent="0.2">
      <c r="A74" s="12"/>
      <c r="B74" s="12"/>
      <c r="C74" s="16"/>
      <c r="D74" s="12"/>
      <c r="E74" s="12"/>
      <c r="F74" s="208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1:21" ht="18.75" customHeight="1" x14ac:dyDescent="0.2">
      <c r="A75" s="12"/>
      <c r="B75" s="12"/>
      <c r="C75" s="16"/>
      <c r="D75" s="12"/>
      <c r="E75" s="12"/>
      <c r="F75" s="208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1:21" ht="18.75" customHeight="1" x14ac:dyDescent="0.2">
      <c r="A76" s="12"/>
      <c r="B76" s="12"/>
      <c r="C76" s="16"/>
      <c r="D76" s="12"/>
      <c r="E76" s="12"/>
      <c r="F76" s="208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1:21" ht="18.75" customHeight="1" x14ac:dyDescent="0.2">
      <c r="A77" s="12"/>
      <c r="B77" s="12"/>
      <c r="C77" s="16"/>
      <c r="D77" s="12"/>
      <c r="E77" s="12"/>
      <c r="F77" s="208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1:21" ht="18.75" customHeight="1" x14ac:dyDescent="0.2">
      <c r="A78" s="12"/>
      <c r="B78" s="12"/>
      <c r="C78" s="16"/>
      <c r="D78" s="12"/>
      <c r="E78" s="12"/>
      <c r="F78" s="208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1:21" ht="18.75" customHeight="1" x14ac:dyDescent="0.2">
      <c r="A79" s="12"/>
      <c r="B79" s="12"/>
      <c r="C79" s="16"/>
      <c r="D79" s="12"/>
      <c r="E79" s="12"/>
      <c r="F79" s="208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1" ht="18.75" customHeight="1" x14ac:dyDescent="0.2">
      <c r="A80" s="12"/>
      <c r="B80" s="12"/>
      <c r="C80" s="16"/>
      <c r="D80" s="12"/>
      <c r="E80" s="12"/>
      <c r="F80" s="208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21" ht="18.75" customHeight="1" x14ac:dyDescent="0.2">
      <c r="A81" s="12"/>
      <c r="B81" s="12"/>
      <c r="C81" s="16"/>
      <c r="D81" s="12"/>
      <c r="E81" s="12"/>
      <c r="F81" s="208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8.75" customHeight="1" x14ac:dyDescent="0.2">
      <c r="A82" s="12"/>
      <c r="B82" s="12"/>
      <c r="C82" s="16"/>
      <c r="D82" s="12"/>
      <c r="E82" s="12"/>
      <c r="F82" s="208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</row>
    <row r="83" spans="1:21" ht="18.75" customHeight="1" x14ac:dyDescent="0.2">
      <c r="A83" s="12"/>
      <c r="B83" s="12"/>
      <c r="C83" s="16"/>
      <c r="D83" s="12"/>
      <c r="E83" s="12"/>
      <c r="F83" s="208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</row>
    <row r="84" spans="1:21" ht="18.75" customHeight="1" x14ac:dyDescent="0.2">
      <c r="A84" s="12"/>
      <c r="B84" s="12"/>
      <c r="C84" s="16"/>
      <c r="D84" s="12"/>
      <c r="E84" s="12"/>
      <c r="F84" s="208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</row>
    <row r="85" spans="1:21" ht="18.75" customHeight="1" x14ac:dyDescent="0.2">
      <c r="A85" s="12"/>
      <c r="B85" s="12"/>
      <c r="C85" s="16"/>
      <c r="D85" s="12"/>
      <c r="E85" s="12"/>
      <c r="F85" s="208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</row>
    <row r="86" spans="1:21" ht="18.75" customHeight="1" x14ac:dyDescent="0.2">
      <c r="A86" s="12"/>
      <c r="B86" s="12"/>
      <c r="C86" s="16"/>
      <c r="D86" s="12"/>
      <c r="E86" s="12"/>
      <c r="F86" s="208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</row>
    <row r="87" spans="1:21" ht="18.75" customHeight="1" x14ac:dyDescent="0.2">
      <c r="A87" s="12"/>
      <c r="B87" s="12"/>
      <c r="C87" s="16"/>
      <c r="D87" s="12"/>
      <c r="E87" s="12"/>
      <c r="F87" s="208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</row>
    <row r="88" spans="1:21" ht="18.75" customHeight="1" x14ac:dyDescent="0.2">
      <c r="A88" s="12"/>
      <c r="B88" s="12"/>
      <c r="C88" s="16"/>
      <c r="D88" s="12"/>
      <c r="E88" s="12"/>
      <c r="F88" s="208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  <row r="89" spans="1:21" ht="18.75" customHeight="1" x14ac:dyDescent="0.2">
      <c r="A89" s="12"/>
      <c r="B89" s="12"/>
      <c r="C89" s="16"/>
      <c r="D89" s="12"/>
      <c r="E89" s="12"/>
      <c r="F89" s="208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</row>
    <row r="90" spans="1:21" ht="18.75" customHeight="1" x14ac:dyDescent="0.2">
      <c r="A90" s="12"/>
      <c r="B90" s="12"/>
      <c r="C90" s="16"/>
      <c r="D90" s="12"/>
      <c r="E90" s="12"/>
      <c r="F90" s="208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</row>
  </sheetData>
  <mergeCells count="5">
    <mergeCell ref="A1:C1"/>
    <mergeCell ref="A2:C2"/>
    <mergeCell ref="A3:C3"/>
    <mergeCell ref="B6:C6"/>
    <mergeCell ref="B8:C8"/>
  </mergeCells>
  <pageMargins left="0.7" right="0.7" top="0.75" bottom="0.75" header="0.3" footer="0.3"/>
  <pageSetup scale="88" orientation="portrait" r:id="rId1"/>
  <ignoredErrors>
    <ignoredError sqref="C48 C5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autoPageBreaks="0" fitToPage="1"/>
  </sheetPr>
  <dimension ref="A1:G95"/>
  <sheetViews>
    <sheetView workbookViewId="0">
      <selection activeCell="H22" sqref="H22"/>
    </sheetView>
  </sheetViews>
  <sheetFormatPr defaultColWidth="21.5" defaultRowHeight="12.75" x14ac:dyDescent="0.2"/>
  <cols>
    <col min="1" max="1" width="73" style="27" customWidth="1"/>
    <col min="2" max="2" width="2.1640625" style="27" customWidth="1"/>
    <col min="3" max="4" width="15.83203125" style="27" customWidth="1"/>
    <col min="5" max="16384" width="21.5" style="27"/>
  </cols>
  <sheetData>
    <row r="1" spans="1:7" ht="13.5" customHeight="1" x14ac:dyDescent="0.25">
      <c r="A1" s="266" t="s">
        <v>0</v>
      </c>
      <c r="B1" s="267"/>
      <c r="C1" s="267"/>
      <c r="D1" s="267"/>
    </row>
    <row r="2" spans="1:7" ht="13.5" customHeight="1" x14ac:dyDescent="0.25">
      <c r="A2" s="266" t="s">
        <v>63</v>
      </c>
      <c r="B2" s="267"/>
      <c r="C2" s="267"/>
      <c r="D2" s="267"/>
    </row>
    <row r="3" spans="1:7" ht="13.5" customHeight="1" x14ac:dyDescent="0.25">
      <c r="A3" s="266" t="s">
        <v>13</v>
      </c>
      <c r="B3" s="267"/>
      <c r="C3" s="267"/>
      <c r="D3" s="267"/>
    </row>
    <row r="4" spans="1:7" ht="6" customHeight="1" x14ac:dyDescent="0.2"/>
    <row r="5" spans="1:7" ht="18.75" customHeight="1" x14ac:dyDescent="0.2">
      <c r="A5" s="29"/>
      <c r="B5" s="29"/>
      <c r="C5" s="103" t="s">
        <v>185</v>
      </c>
      <c r="D5" s="91" t="s">
        <v>64</v>
      </c>
    </row>
    <row r="6" spans="1:7" ht="12.75" customHeight="1" x14ac:dyDescent="0.2">
      <c r="A6" s="29"/>
      <c r="B6" s="29"/>
      <c r="C6" s="100">
        <v>2020</v>
      </c>
      <c r="D6" s="30">
        <v>2019</v>
      </c>
    </row>
    <row r="7" spans="1:7" ht="18.75" customHeight="1" x14ac:dyDescent="0.2">
      <c r="A7" s="29"/>
      <c r="B7" s="29"/>
      <c r="C7" s="106" t="s">
        <v>2</v>
      </c>
      <c r="D7" s="90"/>
    </row>
    <row r="8" spans="1:7" ht="18.75" customHeight="1" x14ac:dyDescent="0.2">
      <c r="A8" s="29"/>
      <c r="B8" s="29"/>
      <c r="C8" s="107"/>
      <c r="D8" s="33"/>
    </row>
    <row r="9" spans="1:7" s="114" customFormat="1" ht="18.75" customHeight="1" x14ac:dyDescent="0.2">
      <c r="A9" s="113" t="s">
        <v>192</v>
      </c>
      <c r="B9" s="115"/>
      <c r="C9" s="108">
        <v>290126</v>
      </c>
      <c r="D9" s="108">
        <v>290825</v>
      </c>
      <c r="F9" s="217"/>
    </row>
    <row r="10" spans="1:7" ht="13.5" customHeight="1" x14ac:dyDescent="0.2">
      <c r="A10" s="31" t="s">
        <v>46</v>
      </c>
      <c r="B10" s="29"/>
      <c r="C10" s="109">
        <v>73104</v>
      </c>
      <c r="D10" s="109">
        <v>25007</v>
      </c>
    </row>
    <row r="11" spans="1:7" s="73" customFormat="1" ht="13.5" customHeight="1" x14ac:dyDescent="0.2">
      <c r="A11" s="75" t="s">
        <v>70</v>
      </c>
      <c r="B11" s="74"/>
      <c r="C11" s="110">
        <v>-4738</v>
      </c>
      <c r="D11" s="110">
        <v>-5013</v>
      </c>
    </row>
    <row r="12" spans="1:7" ht="13.5" customHeight="1" x14ac:dyDescent="0.2">
      <c r="A12" s="29"/>
      <c r="B12" s="29"/>
      <c r="C12" s="231">
        <f>SUM(C9:C11)</f>
        <v>358492</v>
      </c>
      <c r="D12" s="231">
        <f>SUM(D9:D11)</f>
        <v>310819</v>
      </c>
    </row>
    <row r="13" spans="1:7" ht="13.5" customHeight="1" x14ac:dyDescent="0.2">
      <c r="A13" s="268" t="s">
        <v>65</v>
      </c>
      <c r="B13" s="269"/>
      <c r="C13" s="109">
        <v>28456</v>
      </c>
      <c r="D13" s="109">
        <v>20753</v>
      </c>
    </row>
    <row r="14" spans="1:7" ht="13.5" customHeight="1" thickBot="1" x14ac:dyDescent="0.25">
      <c r="A14" s="31" t="s">
        <v>36</v>
      </c>
      <c r="B14" s="29"/>
      <c r="C14" s="36">
        <f>C12-C13</f>
        <v>330036</v>
      </c>
      <c r="D14" s="36">
        <f>D12-D13</f>
        <v>290066</v>
      </c>
    </row>
    <row r="15" spans="1:7" ht="13.5" customHeight="1" thickTop="1" x14ac:dyDescent="0.2">
      <c r="A15" s="29"/>
      <c r="B15" s="29"/>
      <c r="C15" s="107"/>
      <c r="D15" s="79"/>
      <c r="G15" s="77"/>
    </row>
    <row r="16" spans="1:7" ht="13.5" customHeight="1" x14ac:dyDescent="0.2">
      <c r="A16" s="31" t="s">
        <v>66</v>
      </c>
      <c r="C16" s="99"/>
      <c r="D16" s="35"/>
    </row>
    <row r="17" spans="1:4" ht="13.5" customHeight="1" x14ac:dyDescent="0.2">
      <c r="A17" s="75" t="s">
        <v>71</v>
      </c>
      <c r="C17" s="111">
        <f>C12-C11</f>
        <v>363230</v>
      </c>
      <c r="D17" s="34">
        <f>D12-D11</f>
        <v>315832</v>
      </c>
    </row>
    <row r="18" spans="1:4" ht="13.5" customHeight="1" x14ac:dyDescent="0.2">
      <c r="A18" s="31" t="s">
        <v>67</v>
      </c>
      <c r="C18" s="112"/>
      <c r="D18" s="35"/>
    </row>
    <row r="19" spans="1:4" ht="13.5" customHeight="1" x14ac:dyDescent="0.2">
      <c r="A19" s="31" t="s">
        <v>16</v>
      </c>
      <c r="C19" s="109">
        <f>'Balance Sheet'!B11</f>
        <v>105157</v>
      </c>
      <c r="D19" s="231">
        <f>'Balance Sheet'!C11</f>
        <v>153020</v>
      </c>
    </row>
    <row r="20" spans="1:4" ht="13.5" customHeight="1" x14ac:dyDescent="0.2">
      <c r="A20" s="31" t="s">
        <v>17</v>
      </c>
      <c r="C20" s="110">
        <f>'Balance Sheet'!B12</f>
        <v>129057</v>
      </c>
      <c r="D20" s="110">
        <f>'Balance Sheet'!C12</f>
        <v>135667</v>
      </c>
    </row>
    <row r="21" spans="1:4" ht="13.5" customHeight="1" x14ac:dyDescent="0.2">
      <c r="A21" s="29"/>
      <c r="C21" s="109">
        <f>+C19+C20</f>
        <v>234214</v>
      </c>
      <c r="D21" s="231">
        <f>+D19+D20</f>
        <v>288687</v>
      </c>
    </row>
    <row r="22" spans="1:4" ht="13.5" customHeight="1" thickBot="1" x14ac:dyDescent="0.25">
      <c r="A22" s="31" t="s">
        <v>68</v>
      </c>
      <c r="C22" s="36">
        <f>+C17-C21</f>
        <v>129016</v>
      </c>
      <c r="D22" s="36">
        <f>+D17-D21</f>
        <v>27145</v>
      </c>
    </row>
    <row r="23" spans="1:4" ht="18.75" customHeight="1" thickTop="1" x14ac:dyDescent="0.2">
      <c r="C23" s="35"/>
      <c r="D23" s="35"/>
    </row>
    <row r="24" spans="1:4" ht="18.75" customHeight="1" x14ac:dyDescent="0.2"/>
    <row r="25" spans="1:4" ht="18.75" customHeight="1" x14ac:dyDescent="0.2"/>
    <row r="26" spans="1:4" ht="18.75" customHeight="1" x14ac:dyDescent="0.2"/>
    <row r="27" spans="1:4" ht="18.75" customHeight="1" x14ac:dyDescent="0.2"/>
    <row r="28" spans="1:4" ht="18.75" customHeight="1" x14ac:dyDescent="0.2"/>
    <row r="29" spans="1:4" ht="18.75" customHeight="1" x14ac:dyDescent="0.2"/>
    <row r="30" spans="1:4" ht="18.75" customHeight="1" x14ac:dyDescent="0.2"/>
    <row r="31" spans="1:4" ht="18.75" customHeight="1" x14ac:dyDescent="0.2"/>
    <row r="32" spans="1:4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  <row r="45" ht="18.75" customHeight="1" x14ac:dyDescent="0.2"/>
    <row r="46" ht="18.75" customHeight="1" x14ac:dyDescent="0.2"/>
    <row r="47" ht="18.75" customHeight="1" x14ac:dyDescent="0.2"/>
    <row r="48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</sheetData>
  <mergeCells count="4">
    <mergeCell ref="A1:D1"/>
    <mergeCell ref="A2:D2"/>
    <mergeCell ref="A3:D3"/>
    <mergeCell ref="A13:B13"/>
  </mergeCells>
  <pageMargins left="0.7" right="0.7" top="0.75" bottom="0.75" header="0.3" footer="0.3"/>
  <pageSetup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G38"/>
  <sheetViews>
    <sheetView workbookViewId="0">
      <selection activeCell="B16" sqref="B16"/>
    </sheetView>
  </sheetViews>
  <sheetFormatPr defaultRowHeight="12.75" x14ac:dyDescent="0.2"/>
  <cols>
    <col min="1" max="1" width="60.1640625" style="125" customWidth="1"/>
    <col min="2" max="2" width="14.33203125" style="125" customWidth="1"/>
    <col min="3" max="3" width="10.1640625" style="125" bestFit="1" customWidth="1"/>
    <col min="4" max="4" width="14.33203125" style="125" customWidth="1"/>
    <col min="5" max="5" width="10.1640625" style="125" customWidth="1"/>
    <col min="6" max="6" width="14.33203125" style="125" customWidth="1"/>
    <col min="7" max="7" width="10.1640625" style="125" customWidth="1"/>
    <col min="8" max="10" width="9.33203125" style="125"/>
    <col min="11" max="11" width="14.1640625" style="125" bestFit="1" customWidth="1"/>
    <col min="12" max="13" width="12.83203125" style="125" bestFit="1" customWidth="1"/>
    <col min="14" max="16384" width="9.33203125" style="125"/>
  </cols>
  <sheetData>
    <row r="1" spans="1:7" ht="15.75" x14ac:dyDescent="0.25">
      <c r="A1" s="270" t="s">
        <v>0</v>
      </c>
      <c r="B1" s="270"/>
      <c r="C1" s="271"/>
      <c r="D1" s="271"/>
      <c r="E1" s="271"/>
      <c r="F1" s="271"/>
      <c r="G1" s="271"/>
    </row>
    <row r="2" spans="1:7" ht="15.75" x14ac:dyDescent="0.25">
      <c r="A2" s="270" t="s">
        <v>79</v>
      </c>
      <c r="B2" s="270"/>
      <c r="C2" s="271"/>
      <c r="D2" s="271"/>
      <c r="E2" s="271"/>
      <c r="F2" s="271"/>
      <c r="G2" s="271"/>
    </row>
    <row r="3" spans="1:7" ht="15.75" x14ac:dyDescent="0.25">
      <c r="A3" s="270" t="s">
        <v>80</v>
      </c>
      <c r="B3" s="270"/>
      <c r="C3" s="271"/>
      <c r="D3" s="271"/>
      <c r="E3" s="271"/>
      <c r="F3" s="271"/>
      <c r="G3" s="271"/>
    </row>
    <row r="4" spans="1:7" x14ac:dyDescent="0.2">
      <c r="A4" s="124"/>
      <c r="B4" s="124"/>
      <c r="C4" s="124"/>
      <c r="D4" s="157"/>
      <c r="E4" s="157"/>
      <c r="F4" s="157"/>
      <c r="G4" s="157"/>
    </row>
    <row r="5" spans="1:7" x14ac:dyDescent="0.2">
      <c r="A5" s="124"/>
      <c r="B5" s="159"/>
      <c r="C5" s="159"/>
      <c r="D5" s="159"/>
      <c r="E5" s="159"/>
      <c r="F5" s="159"/>
      <c r="G5" s="159"/>
    </row>
    <row r="6" spans="1:7" ht="25.5" customHeight="1" x14ac:dyDescent="0.2">
      <c r="A6" s="124"/>
      <c r="B6" s="272" t="s">
        <v>187</v>
      </c>
      <c r="C6" s="272"/>
      <c r="D6" s="272" t="s">
        <v>183</v>
      </c>
      <c r="E6" s="272"/>
      <c r="F6" s="272" t="s">
        <v>188</v>
      </c>
      <c r="G6" s="272"/>
    </row>
    <row r="7" spans="1:7" x14ac:dyDescent="0.2">
      <c r="A7" s="124"/>
      <c r="B7" s="126" t="s">
        <v>2</v>
      </c>
      <c r="C7" s="126"/>
      <c r="D7" s="126" t="s">
        <v>2</v>
      </c>
      <c r="E7" s="126"/>
      <c r="F7" s="126" t="s">
        <v>2</v>
      </c>
      <c r="G7" s="126"/>
    </row>
    <row r="8" spans="1:7" ht="12.75" customHeight="1" x14ac:dyDescent="0.2">
      <c r="A8" s="127" t="s">
        <v>81</v>
      </c>
      <c r="B8" s="228"/>
      <c r="C8" s="128"/>
      <c r="D8" s="128"/>
      <c r="E8" s="128"/>
      <c r="F8" s="128"/>
      <c r="G8" s="128"/>
    </row>
    <row r="9" spans="1:7" ht="12.75" customHeight="1" x14ac:dyDescent="0.2">
      <c r="A9" s="129" t="s">
        <v>82</v>
      </c>
      <c r="B9" s="241">
        <v>14.171967990000001</v>
      </c>
      <c r="C9" s="119"/>
      <c r="D9" s="241">
        <v>18.085646730000001</v>
      </c>
      <c r="E9" s="119"/>
      <c r="F9" s="119">
        <v>17.1406177</v>
      </c>
      <c r="G9" s="119"/>
    </row>
    <row r="10" spans="1:7" ht="12.75" customHeight="1" x14ac:dyDescent="0.2">
      <c r="A10" s="129"/>
      <c r="B10" s="242"/>
      <c r="C10" s="116"/>
      <c r="D10" s="242"/>
      <c r="E10" s="116"/>
      <c r="F10" s="116"/>
      <c r="G10" s="116"/>
    </row>
    <row r="11" spans="1:7" ht="12.75" customHeight="1" x14ac:dyDescent="0.2">
      <c r="A11" s="129" t="s">
        <v>83</v>
      </c>
      <c r="B11" s="243">
        <v>174.54209757000001</v>
      </c>
      <c r="C11" s="153">
        <f>B11/B9</f>
        <v>12.316009864907972</v>
      </c>
      <c r="D11" s="243">
        <v>218.33716984</v>
      </c>
      <c r="E11" s="153">
        <f>D11/D9</f>
        <v>12.072400456535954</v>
      </c>
      <c r="F11" s="117">
        <v>208.72300000000001</v>
      </c>
      <c r="G11" s="153">
        <f>ROUND(F11/F9,2)</f>
        <v>12.18</v>
      </c>
    </row>
    <row r="12" spans="1:7" ht="12.75" customHeight="1" x14ac:dyDescent="0.2">
      <c r="A12" s="129" t="s">
        <v>84</v>
      </c>
      <c r="B12" s="244">
        <v>176.38488731999999</v>
      </c>
      <c r="C12" s="130">
        <f>B12/B9</f>
        <v>12.446040482483477</v>
      </c>
      <c r="D12" s="244">
        <v>193.59541813999999</v>
      </c>
      <c r="E12" s="130">
        <f>D12/D9</f>
        <v>10.704368001331627</v>
      </c>
      <c r="F12" s="253">
        <v>188.279</v>
      </c>
      <c r="G12" s="130">
        <f>ROUND(F12/F9,2)</f>
        <v>10.98</v>
      </c>
    </row>
    <row r="13" spans="1:7" ht="12.75" customHeight="1" x14ac:dyDescent="0.2">
      <c r="A13" s="129" t="s">
        <v>85</v>
      </c>
      <c r="B13" s="119">
        <f t="shared" ref="B13:G13" si="0">B11-B12</f>
        <v>-1.8427897499999801</v>
      </c>
      <c r="C13" s="131">
        <f>C11-C12</f>
        <v>-0.13003061757550505</v>
      </c>
      <c r="D13" s="119">
        <f t="shared" si="0"/>
        <v>24.741751700000009</v>
      </c>
      <c r="E13" s="131">
        <f>E11-E12</f>
        <v>1.368032455204327</v>
      </c>
      <c r="F13" s="119">
        <f t="shared" si="0"/>
        <v>20.444000000000017</v>
      </c>
      <c r="G13" s="131">
        <f t="shared" si="0"/>
        <v>1.1999999999999993</v>
      </c>
    </row>
    <row r="14" spans="1:7" ht="12.75" customHeight="1" x14ac:dyDescent="0.2">
      <c r="A14" s="129"/>
      <c r="B14" s="116"/>
      <c r="C14" s="116"/>
      <c r="D14" s="116"/>
      <c r="E14" s="116"/>
      <c r="F14" s="116"/>
      <c r="G14" s="116"/>
    </row>
    <row r="15" spans="1:7" ht="12.75" customHeight="1" x14ac:dyDescent="0.2">
      <c r="A15" s="127" t="s">
        <v>86</v>
      </c>
      <c r="B15" s="128"/>
      <c r="C15" s="128"/>
      <c r="D15" s="128"/>
      <c r="E15" s="128"/>
      <c r="F15" s="128"/>
      <c r="G15" s="128"/>
    </row>
    <row r="16" spans="1:7" ht="12.75" customHeight="1" x14ac:dyDescent="0.2">
      <c r="A16" s="129" t="s">
        <v>82</v>
      </c>
      <c r="B16" s="241">
        <v>1.77923155</v>
      </c>
      <c r="C16" s="116"/>
      <c r="D16" s="241">
        <v>1.99976099</v>
      </c>
      <c r="E16" s="116"/>
      <c r="F16" s="119">
        <v>1.7930084100000001</v>
      </c>
      <c r="G16" s="116"/>
    </row>
    <row r="17" spans="1:7" ht="12.75" customHeight="1" x14ac:dyDescent="0.2">
      <c r="A17" s="129"/>
      <c r="B17" s="242"/>
      <c r="C17" s="116"/>
      <c r="D17" s="242"/>
      <c r="E17" s="116"/>
      <c r="F17" s="219"/>
      <c r="G17" s="116"/>
    </row>
    <row r="18" spans="1:7" ht="12.75" customHeight="1" x14ac:dyDescent="0.2">
      <c r="A18" s="129" t="s">
        <v>83</v>
      </c>
      <c r="B18" s="243">
        <v>146.52700891000001</v>
      </c>
      <c r="C18" s="153">
        <f>B18/B16</f>
        <v>82.354097705832615</v>
      </c>
      <c r="D18" s="243">
        <v>181.00091730999998</v>
      </c>
      <c r="E18" s="153">
        <f>D18/D16</f>
        <v>90.51127520494336</v>
      </c>
      <c r="F18" s="117">
        <v>211.964</v>
      </c>
      <c r="G18" s="153">
        <f>ROUND(F18/F16,2)</f>
        <v>118.22</v>
      </c>
    </row>
    <row r="19" spans="1:7" ht="12.75" customHeight="1" x14ac:dyDescent="0.2">
      <c r="A19" s="129" t="s">
        <v>84</v>
      </c>
      <c r="B19" s="244">
        <v>103.94298645000001</v>
      </c>
      <c r="C19" s="130">
        <f>B19/B16</f>
        <v>58.420156977319792</v>
      </c>
      <c r="D19" s="244">
        <v>140.02726720999999</v>
      </c>
      <c r="E19" s="130">
        <f>D19/D16</f>
        <v>70.022001584299332</v>
      </c>
      <c r="F19" s="253">
        <v>120.613</v>
      </c>
      <c r="G19" s="130">
        <f>ROUND(F19/F16,2)</f>
        <v>67.27</v>
      </c>
    </row>
    <row r="20" spans="1:7" ht="12.75" customHeight="1" x14ac:dyDescent="0.2">
      <c r="A20" s="129" t="s">
        <v>85</v>
      </c>
      <c r="B20" s="119">
        <f>B18-B19</f>
        <v>42.58402246</v>
      </c>
      <c r="C20" s="131">
        <f>C18-C19</f>
        <v>23.933940728512823</v>
      </c>
      <c r="D20" s="119">
        <f>D18-D19</f>
        <v>40.973650099999986</v>
      </c>
      <c r="E20" s="131">
        <f>E18-E19</f>
        <v>20.489273620644028</v>
      </c>
      <c r="F20" s="119">
        <f t="shared" ref="F20:G20" si="1">F18-F19</f>
        <v>91.350999999999999</v>
      </c>
      <c r="G20" s="131">
        <f t="shared" si="1"/>
        <v>50.95</v>
      </c>
    </row>
    <row r="21" spans="1:7" ht="12.75" customHeight="1" x14ac:dyDescent="0.2">
      <c r="A21" s="127"/>
      <c r="B21" s="128"/>
      <c r="C21" s="128"/>
      <c r="D21" s="128"/>
      <c r="E21" s="128"/>
      <c r="F21" s="128"/>
      <c r="G21" s="128"/>
    </row>
    <row r="22" spans="1:7" ht="12.75" customHeight="1" x14ac:dyDescent="0.2">
      <c r="A22" s="127" t="s">
        <v>87</v>
      </c>
      <c r="B22" s="128"/>
      <c r="C22" s="128"/>
      <c r="D22" s="128"/>
      <c r="E22" s="128"/>
      <c r="F22" s="128"/>
      <c r="G22" s="128"/>
    </row>
    <row r="23" spans="1:7" ht="12.75" customHeight="1" x14ac:dyDescent="0.2">
      <c r="A23" s="129" t="s">
        <v>82</v>
      </c>
      <c r="B23" s="241">
        <v>0.74333667000000003</v>
      </c>
      <c r="C23" s="116"/>
      <c r="D23" s="241">
        <v>2.12887812</v>
      </c>
      <c r="E23" s="116"/>
      <c r="F23" s="119">
        <v>1.6861931400000001</v>
      </c>
      <c r="G23" s="116"/>
    </row>
    <row r="24" spans="1:7" ht="12.75" customHeight="1" x14ac:dyDescent="0.2">
      <c r="A24" s="129"/>
      <c r="B24" s="242"/>
      <c r="C24" s="116"/>
      <c r="D24" s="242"/>
      <c r="E24" s="116"/>
      <c r="F24" s="116"/>
      <c r="G24" s="116"/>
    </row>
    <row r="25" spans="1:7" ht="12.75" customHeight="1" x14ac:dyDescent="0.2">
      <c r="A25" s="129" t="s">
        <v>83</v>
      </c>
      <c r="B25" s="243">
        <v>25.509305699999999</v>
      </c>
      <c r="C25" s="153">
        <f>B25/B23</f>
        <v>34.317297571233766</v>
      </c>
      <c r="D25" s="243">
        <v>75.375668390000001</v>
      </c>
      <c r="E25" s="153">
        <f>D25/D23</f>
        <v>35.406286382425691</v>
      </c>
      <c r="F25" s="117">
        <v>65.052000000000007</v>
      </c>
      <c r="G25" s="153">
        <f>ROUND(F25/F23,2)</f>
        <v>38.58</v>
      </c>
    </row>
    <row r="26" spans="1:7" ht="12.75" customHeight="1" x14ac:dyDescent="0.2">
      <c r="A26" s="129" t="s">
        <v>84</v>
      </c>
      <c r="B26" s="244">
        <v>27.214506239999999</v>
      </c>
      <c r="C26" s="130">
        <f>B26/B23</f>
        <v>36.611279031882013</v>
      </c>
      <c r="D26" s="244">
        <v>67.716016150000002</v>
      </c>
      <c r="E26" s="130">
        <f>D26/D23</f>
        <v>31.808310449449309</v>
      </c>
      <c r="F26" s="253">
        <v>59.484000000000002</v>
      </c>
      <c r="G26" s="130">
        <f>ROUND(F26/F23,2)</f>
        <v>35.28</v>
      </c>
    </row>
    <row r="27" spans="1:7" ht="12.75" customHeight="1" x14ac:dyDescent="0.2">
      <c r="A27" s="129" t="s">
        <v>85</v>
      </c>
      <c r="B27" s="119">
        <f t="shared" ref="B27:G27" si="2">B25-B26</f>
        <v>-1.7052005399999999</v>
      </c>
      <c r="C27" s="131">
        <f>C25-C26</f>
        <v>-2.2939814606482472</v>
      </c>
      <c r="D27" s="119">
        <f t="shared" si="2"/>
        <v>7.6596522399999998</v>
      </c>
      <c r="E27" s="131">
        <f>E25-E26</f>
        <v>3.5979759329763823</v>
      </c>
      <c r="F27" s="119">
        <f t="shared" si="2"/>
        <v>5.5680000000000049</v>
      </c>
      <c r="G27" s="131">
        <f t="shared" si="2"/>
        <v>3.2999999999999972</v>
      </c>
    </row>
    <row r="28" spans="1:7" ht="12.75" customHeight="1" x14ac:dyDescent="0.2">
      <c r="A28" s="127"/>
      <c r="B28" s="128"/>
      <c r="C28" s="128"/>
      <c r="D28" s="128"/>
      <c r="E28" s="128"/>
      <c r="F28" s="128"/>
      <c r="G28" s="128"/>
    </row>
    <row r="29" spans="1:7" ht="12.75" customHeight="1" x14ac:dyDescent="0.2">
      <c r="A29" s="127" t="s">
        <v>88</v>
      </c>
      <c r="B29" s="117">
        <f>B13+B20+B27</f>
        <v>39.03603217000002</v>
      </c>
      <c r="C29" s="128"/>
      <c r="D29" s="117">
        <f>D13+D20+D27</f>
        <v>73.375054039999995</v>
      </c>
      <c r="E29" s="128"/>
      <c r="F29" s="117">
        <f>F13+F20+F27</f>
        <v>117.36300000000003</v>
      </c>
      <c r="G29" s="128"/>
    </row>
    <row r="30" spans="1:7" ht="12.75" customHeight="1" x14ac:dyDescent="0.2">
      <c r="A30" s="127"/>
      <c r="B30" s="128"/>
      <c r="C30" s="128"/>
      <c r="D30" s="128"/>
      <c r="E30" s="128"/>
      <c r="F30" s="128"/>
      <c r="G30" s="128"/>
    </row>
    <row r="31" spans="1:7" ht="12.75" customHeight="1" x14ac:dyDescent="0.2">
      <c r="A31" s="127" t="s">
        <v>7</v>
      </c>
      <c r="B31" s="119">
        <v>-22.7</v>
      </c>
      <c r="C31" s="128"/>
      <c r="D31" s="119">
        <v>-21.9</v>
      </c>
      <c r="E31" s="128"/>
      <c r="F31" s="119">
        <v>-24.1</v>
      </c>
      <c r="G31" s="128"/>
    </row>
    <row r="32" spans="1:7" ht="12.75" customHeight="1" x14ac:dyDescent="0.2">
      <c r="A32" s="127" t="s">
        <v>46</v>
      </c>
      <c r="B32" s="118">
        <v>-3.4</v>
      </c>
      <c r="C32" s="128"/>
      <c r="D32" s="118">
        <v>-7.8</v>
      </c>
      <c r="E32" s="128"/>
      <c r="F32" s="118">
        <v>14</v>
      </c>
      <c r="G32" s="128"/>
    </row>
    <row r="33" spans="1:7" ht="12.75" customHeight="1" x14ac:dyDescent="0.2">
      <c r="A33" s="127"/>
      <c r="B33" s="128"/>
      <c r="C33" s="128"/>
      <c r="D33" s="128"/>
      <c r="E33" s="128"/>
      <c r="F33" s="128"/>
      <c r="G33" s="128"/>
    </row>
    <row r="34" spans="1:7" ht="12.75" customHeight="1" thickBot="1" x14ac:dyDescent="0.25">
      <c r="A34" s="127" t="s">
        <v>133</v>
      </c>
      <c r="B34" s="132">
        <f>SUM(B29:B32)</f>
        <v>12.93603217000002</v>
      </c>
      <c r="C34" s="128"/>
      <c r="D34" s="132">
        <f>SUM(D29:D32)</f>
        <v>43.675054039999999</v>
      </c>
      <c r="E34" s="128"/>
      <c r="F34" s="132">
        <f>SUM(F29:F32)</f>
        <v>107.26300000000003</v>
      </c>
      <c r="G34" s="128"/>
    </row>
    <row r="35" spans="1:7" ht="12.75" customHeight="1" thickTop="1" x14ac:dyDescent="0.2">
      <c r="A35" s="127"/>
      <c r="B35" s="154"/>
      <c r="C35" s="128"/>
      <c r="D35" s="128"/>
      <c r="E35" s="128"/>
      <c r="F35" s="128"/>
      <c r="G35" s="128"/>
    </row>
    <row r="36" spans="1:7" ht="12.75" customHeight="1" x14ac:dyDescent="0.2">
      <c r="A36" s="136"/>
      <c r="B36" s="128"/>
      <c r="C36" s="128"/>
      <c r="D36" s="128"/>
      <c r="E36" s="128"/>
      <c r="F36" s="128"/>
      <c r="G36" s="128"/>
    </row>
    <row r="37" spans="1:7" x14ac:dyDescent="0.2">
      <c r="A37" s="127"/>
      <c r="B37" s="137"/>
      <c r="C37" s="127"/>
      <c r="D37" s="127"/>
      <c r="E37" s="127"/>
      <c r="F37" s="127"/>
      <c r="G37" s="127"/>
    </row>
    <row r="38" spans="1:7" x14ac:dyDescent="0.2">
      <c r="A38" s="127"/>
      <c r="B38" s="127"/>
      <c r="C38" s="127"/>
      <c r="D38" s="127"/>
      <c r="E38" s="127"/>
      <c r="F38" s="127"/>
      <c r="G38" s="127"/>
    </row>
  </sheetData>
  <mergeCells count="6">
    <mergeCell ref="A1:G1"/>
    <mergeCell ref="A2:G2"/>
    <mergeCell ref="A3:G3"/>
    <mergeCell ref="B6:C6"/>
    <mergeCell ref="D6:E6"/>
    <mergeCell ref="F6:G6"/>
  </mergeCells>
  <pageMargins left="0.7" right="0.7" top="0.75" bottom="0.75" header="0.3" footer="0.3"/>
  <pageSetup scale="75" orientation="portrait" r:id="rId1"/>
  <ignoredErrors>
    <ignoredError sqref="H9:I38" formulaRange="1"/>
    <ignoredError sqref="D13 D20 D2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A1:I53"/>
  <sheetViews>
    <sheetView workbookViewId="0">
      <selection activeCell="B24" sqref="B24"/>
    </sheetView>
  </sheetViews>
  <sheetFormatPr defaultRowHeight="12.75" x14ac:dyDescent="0.2"/>
  <cols>
    <col min="1" max="1" width="59.6640625" style="125" bestFit="1" customWidth="1"/>
    <col min="2" max="6" width="20.83203125" style="125" customWidth="1"/>
    <col min="7" max="7" width="9.33203125" style="125"/>
    <col min="8" max="8" width="14.33203125" style="125" customWidth="1"/>
    <col min="9" max="16384" width="9.33203125" style="125"/>
  </cols>
  <sheetData>
    <row r="1" spans="1:9" ht="15.75" x14ac:dyDescent="0.25">
      <c r="A1" s="270" t="s">
        <v>0</v>
      </c>
      <c r="B1" s="270"/>
      <c r="C1" s="271"/>
      <c r="D1" s="271"/>
      <c r="E1" s="271"/>
      <c r="F1" s="271"/>
      <c r="G1" s="271"/>
      <c r="H1" s="274"/>
      <c r="I1" s="274"/>
    </row>
    <row r="2" spans="1:9" ht="15.75" x14ac:dyDescent="0.25">
      <c r="A2" s="270" t="s">
        <v>107</v>
      </c>
      <c r="B2" s="270"/>
      <c r="C2" s="271"/>
      <c r="D2" s="271"/>
      <c r="E2" s="271"/>
      <c r="F2" s="271"/>
      <c r="G2" s="271"/>
      <c r="H2" s="275"/>
      <c r="I2" s="271"/>
    </row>
    <row r="3" spans="1:9" ht="15.75" x14ac:dyDescent="0.25">
      <c r="A3" s="270" t="s">
        <v>167</v>
      </c>
      <c r="B3" s="270"/>
      <c r="C3" s="271"/>
      <c r="D3" s="271"/>
      <c r="E3" s="271"/>
      <c r="F3" s="271"/>
      <c r="G3" s="271"/>
      <c r="H3" s="275"/>
      <c r="I3" s="271"/>
    </row>
    <row r="4" spans="1:9" x14ac:dyDescent="0.2">
      <c r="A4" s="157"/>
      <c r="B4" s="157"/>
      <c r="C4" s="157"/>
      <c r="D4" s="157"/>
      <c r="E4" s="157"/>
      <c r="F4" s="157"/>
      <c r="G4" s="157"/>
      <c r="H4" s="157"/>
      <c r="I4" s="157"/>
    </row>
    <row r="5" spans="1:9" x14ac:dyDescent="0.2">
      <c r="A5" s="268" t="s">
        <v>45</v>
      </c>
      <c r="B5" s="265"/>
      <c r="C5" s="265"/>
      <c r="D5" s="265"/>
      <c r="E5" s="265"/>
      <c r="F5" s="265"/>
      <c r="G5" s="184"/>
      <c r="H5" s="184"/>
      <c r="I5" s="184"/>
    </row>
    <row r="6" spans="1:9" x14ac:dyDescent="0.2">
      <c r="A6" s="268" t="s">
        <v>123</v>
      </c>
      <c r="B6" s="265"/>
      <c r="C6" s="265"/>
      <c r="D6" s="265"/>
      <c r="E6" s="265"/>
      <c r="F6" s="265"/>
      <c r="G6" s="184"/>
      <c r="H6" s="184"/>
      <c r="I6" s="184"/>
    </row>
    <row r="7" spans="1:9" x14ac:dyDescent="0.2">
      <c r="A7" s="184"/>
      <c r="B7" s="184"/>
      <c r="C7" s="184"/>
      <c r="D7" s="184"/>
      <c r="E7" s="184"/>
      <c r="F7" s="184"/>
      <c r="G7" s="184"/>
      <c r="H7" s="184"/>
      <c r="I7" s="184"/>
    </row>
    <row r="8" spans="1:9" x14ac:dyDescent="0.2">
      <c r="A8" s="180" t="s">
        <v>124</v>
      </c>
      <c r="B8" s="178"/>
      <c r="C8" s="178"/>
      <c r="D8" s="178"/>
      <c r="E8" s="178"/>
      <c r="F8" s="178"/>
    </row>
    <row r="9" spans="1:9" x14ac:dyDescent="0.2">
      <c r="A9" s="273"/>
      <c r="B9" s="273"/>
      <c r="C9" s="273"/>
      <c r="D9" s="273"/>
      <c r="E9" s="273"/>
      <c r="F9" s="273"/>
    </row>
    <row r="10" spans="1:9" x14ac:dyDescent="0.2">
      <c r="A10" s="181" t="s">
        <v>125</v>
      </c>
      <c r="B10" s="181"/>
      <c r="C10" s="181"/>
      <c r="D10" s="181"/>
      <c r="E10" s="181"/>
      <c r="F10" s="181"/>
    </row>
    <row r="11" spans="1:9" x14ac:dyDescent="0.2">
      <c r="A11" s="181" t="s">
        <v>146</v>
      </c>
      <c r="B11" s="179"/>
      <c r="C11" s="179"/>
      <c r="D11" s="179"/>
      <c r="E11" s="179"/>
      <c r="F11" s="179"/>
    </row>
    <row r="12" spans="1:9" ht="12.75" customHeight="1" x14ac:dyDescent="0.2">
      <c r="A12" s="182" t="s">
        <v>153</v>
      </c>
      <c r="B12" s="183"/>
      <c r="C12" s="183"/>
      <c r="D12" s="183"/>
      <c r="E12" s="183"/>
      <c r="F12" s="183"/>
    </row>
    <row r="13" spans="1:9" x14ac:dyDescent="0.2">
      <c r="A13" s="182" t="s">
        <v>147</v>
      </c>
      <c r="B13" s="183"/>
      <c r="C13" s="183"/>
      <c r="D13" s="183"/>
      <c r="E13" s="183"/>
      <c r="F13" s="183"/>
    </row>
    <row r="14" spans="1:9" x14ac:dyDescent="0.2">
      <c r="A14" s="182" t="s">
        <v>148</v>
      </c>
      <c r="B14" s="183"/>
      <c r="C14" s="183"/>
      <c r="D14" s="183"/>
      <c r="E14" s="183"/>
      <c r="F14" s="183"/>
    </row>
    <row r="15" spans="1:9" x14ac:dyDescent="0.2">
      <c r="A15" s="182" t="s">
        <v>149</v>
      </c>
      <c r="B15" s="183"/>
      <c r="C15" s="183"/>
      <c r="D15" s="183"/>
      <c r="E15" s="183"/>
      <c r="F15" s="183"/>
    </row>
    <row r="16" spans="1:9" x14ac:dyDescent="0.2">
      <c r="A16" s="168" t="s">
        <v>150</v>
      </c>
    </row>
    <row r="18" spans="1:6" ht="30" x14ac:dyDescent="0.25">
      <c r="A18" s="160" t="s">
        <v>189</v>
      </c>
      <c r="B18" s="161" t="s">
        <v>81</v>
      </c>
      <c r="C18" s="162" t="s">
        <v>86</v>
      </c>
      <c r="D18" s="162" t="s">
        <v>87</v>
      </c>
      <c r="E18" s="162" t="s">
        <v>108</v>
      </c>
      <c r="F18" s="163" t="s">
        <v>109</v>
      </c>
    </row>
    <row r="19" spans="1:6" x14ac:dyDescent="0.2">
      <c r="A19" s="156" t="s">
        <v>13</v>
      </c>
      <c r="B19" s="164"/>
      <c r="C19" s="165"/>
      <c r="D19" s="165"/>
      <c r="E19" s="165"/>
      <c r="F19" s="165"/>
    </row>
    <row r="20" spans="1:6" x14ac:dyDescent="0.2">
      <c r="A20" s="156" t="s">
        <v>151</v>
      </c>
      <c r="B20" s="169">
        <v>178460</v>
      </c>
      <c r="C20" s="169">
        <v>182654</v>
      </c>
      <c r="D20" s="169">
        <v>31736</v>
      </c>
      <c r="E20" s="169">
        <v>12382</v>
      </c>
      <c r="F20" s="169">
        <f>SUM(B20:E20)</f>
        <v>405232</v>
      </c>
    </row>
    <row r="21" spans="1:6" ht="25.5" x14ac:dyDescent="0.2">
      <c r="A21" s="156" t="s">
        <v>110</v>
      </c>
      <c r="B21" s="169"/>
      <c r="C21" s="169"/>
      <c r="D21" s="169"/>
      <c r="E21" s="169"/>
      <c r="F21" s="169"/>
    </row>
    <row r="22" spans="1:6" ht="25.5" x14ac:dyDescent="0.2">
      <c r="A22" s="167" t="s">
        <v>111</v>
      </c>
      <c r="B22" s="212">
        <v>0</v>
      </c>
      <c r="C22" s="196">
        <v>-261</v>
      </c>
      <c r="D22" s="196">
        <v>-1328</v>
      </c>
      <c r="E22" s="196">
        <v>0</v>
      </c>
      <c r="F22" s="212">
        <f>SUM(B22:E22)</f>
        <v>-1589</v>
      </c>
    </row>
    <row r="23" spans="1:6" ht="25.5" x14ac:dyDescent="0.2">
      <c r="A23" s="167" t="s">
        <v>112</v>
      </c>
      <c r="B23" s="212">
        <v>0</v>
      </c>
      <c r="C23" s="196">
        <v>0</v>
      </c>
      <c r="D23" s="196">
        <v>0</v>
      </c>
      <c r="E23" s="196">
        <v>12349</v>
      </c>
      <c r="F23" s="212">
        <f>SUM(B23:E23)</f>
        <v>12349</v>
      </c>
    </row>
    <row r="24" spans="1:6" x14ac:dyDescent="0.2">
      <c r="A24" s="167" t="s">
        <v>113</v>
      </c>
      <c r="B24" s="212">
        <v>3918</v>
      </c>
      <c r="C24" s="196">
        <v>36388</v>
      </c>
      <c r="D24" s="196">
        <v>7555</v>
      </c>
      <c r="E24" s="196">
        <v>33</v>
      </c>
      <c r="F24" s="212">
        <f>SUM(B24:E24)</f>
        <v>47894</v>
      </c>
    </row>
    <row r="25" spans="1:6" x14ac:dyDescent="0.2">
      <c r="A25" s="156" t="s">
        <v>114</v>
      </c>
      <c r="B25" s="197">
        <f>B20-SUM(B22:B24)</f>
        <v>174542</v>
      </c>
      <c r="C25" s="197">
        <f t="shared" ref="C25:E25" si="0">C20-SUM(C22:C24)</f>
        <v>146527</v>
      </c>
      <c r="D25" s="197">
        <f t="shared" si="0"/>
        <v>25509</v>
      </c>
      <c r="E25" s="197">
        <f t="shared" si="0"/>
        <v>0</v>
      </c>
      <c r="F25" s="197">
        <f>F20-SUM(F22:F24)</f>
        <v>346578</v>
      </c>
    </row>
    <row r="26" spans="1:6" x14ac:dyDescent="0.2">
      <c r="A26" s="156" t="s">
        <v>115</v>
      </c>
      <c r="B26" s="242">
        <v>14171.967989999999</v>
      </c>
      <c r="C26" s="242">
        <v>1779.2315500000002</v>
      </c>
      <c r="D26" s="242">
        <v>743.33667000000003</v>
      </c>
      <c r="E26" s="169"/>
      <c r="F26" s="169"/>
    </row>
    <row r="27" spans="1:6" x14ac:dyDescent="0.2">
      <c r="A27" s="156" t="s">
        <v>116</v>
      </c>
      <c r="B27" s="198">
        <f>B25/B26</f>
        <v>12.316002980190193</v>
      </c>
      <c r="C27" s="198">
        <f>C25/C26</f>
        <v>82.354092698052696</v>
      </c>
      <c r="D27" s="198">
        <f t="shared" ref="D27" si="1">D25/D26</f>
        <v>34.31688631747442</v>
      </c>
      <c r="E27" s="169"/>
      <c r="F27" s="169"/>
    </row>
    <row r="28" spans="1:6" x14ac:dyDescent="0.2">
      <c r="A28" s="168"/>
      <c r="B28" s="229"/>
      <c r="C28" s="168"/>
      <c r="D28" s="168"/>
      <c r="E28" s="168"/>
      <c r="F28" s="168"/>
    </row>
    <row r="29" spans="1:6" x14ac:dyDescent="0.2">
      <c r="A29" s="168"/>
      <c r="B29" s="168"/>
      <c r="C29" s="168"/>
      <c r="D29" s="168"/>
      <c r="E29" s="168"/>
      <c r="F29" s="168"/>
    </row>
    <row r="30" spans="1:6" ht="30" x14ac:dyDescent="0.25">
      <c r="A30" s="160" t="s">
        <v>173</v>
      </c>
      <c r="B30" s="200" t="s">
        <v>81</v>
      </c>
      <c r="C30" s="201" t="s">
        <v>86</v>
      </c>
      <c r="D30" s="201" t="s">
        <v>87</v>
      </c>
      <c r="E30" s="201" t="s">
        <v>108</v>
      </c>
      <c r="F30" s="202" t="s">
        <v>109</v>
      </c>
    </row>
    <row r="31" spans="1:6" x14ac:dyDescent="0.2">
      <c r="A31" s="192" t="s">
        <v>13</v>
      </c>
      <c r="B31" s="203"/>
      <c r="C31" s="204"/>
      <c r="D31" s="204"/>
      <c r="E31" s="204"/>
      <c r="F31" s="204"/>
    </row>
    <row r="32" spans="1:6" x14ac:dyDescent="0.2">
      <c r="A32" s="192" t="s">
        <v>151</v>
      </c>
      <c r="B32" s="169">
        <v>222904</v>
      </c>
      <c r="C32" s="169">
        <v>221551</v>
      </c>
      <c r="D32" s="169">
        <v>98967</v>
      </c>
      <c r="E32" s="169">
        <v>6058</v>
      </c>
      <c r="F32" s="169">
        <f>SUM(B32:E32)</f>
        <v>549480</v>
      </c>
    </row>
    <row r="33" spans="1:6" ht="25.5" x14ac:dyDescent="0.2">
      <c r="A33" s="192" t="s">
        <v>110</v>
      </c>
      <c r="B33" s="169"/>
      <c r="C33" s="169"/>
      <c r="D33" s="169"/>
      <c r="E33" s="169"/>
      <c r="F33" s="169"/>
    </row>
    <row r="34" spans="1:6" ht="25.5" x14ac:dyDescent="0.2">
      <c r="A34" s="205" t="s">
        <v>111</v>
      </c>
      <c r="B34" s="212">
        <v>0</v>
      </c>
      <c r="C34" s="196">
        <v>-616</v>
      </c>
      <c r="D34" s="196">
        <v>-3258</v>
      </c>
      <c r="E34" s="196">
        <v>0</v>
      </c>
      <c r="F34" s="212">
        <f>SUM(B34:E34)</f>
        <v>-3874</v>
      </c>
    </row>
    <row r="35" spans="1:6" ht="25.5" x14ac:dyDescent="0.2">
      <c r="A35" s="205" t="s">
        <v>112</v>
      </c>
      <c r="B35" s="212">
        <v>0</v>
      </c>
      <c r="C35" s="196">
        <v>0</v>
      </c>
      <c r="D35" s="196">
        <v>0</v>
      </c>
      <c r="E35" s="196">
        <v>6026</v>
      </c>
      <c r="F35" s="195">
        <f>SUM(B35:E35)</f>
        <v>6026</v>
      </c>
    </row>
    <row r="36" spans="1:6" x14ac:dyDescent="0.2">
      <c r="A36" s="205" t="s">
        <v>113</v>
      </c>
      <c r="B36" s="212">
        <v>4567</v>
      </c>
      <c r="C36" s="196">
        <v>41165</v>
      </c>
      <c r="D36" s="196">
        <v>26849</v>
      </c>
      <c r="E36" s="196">
        <v>32</v>
      </c>
      <c r="F36" s="195">
        <f>SUM(B36:E36)</f>
        <v>72613</v>
      </c>
    </row>
    <row r="37" spans="1:6" x14ac:dyDescent="0.2">
      <c r="A37" s="192" t="s">
        <v>114</v>
      </c>
      <c r="B37" s="197">
        <f>B32-SUM(B34:B36)</f>
        <v>218337</v>
      </c>
      <c r="C37" s="197">
        <f t="shared" ref="C37" si="2">C32-SUM(C34:C36)</f>
        <v>181002</v>
      </c>
      <c r="D37" s="197">
        <f t="shared" ref="D37" si="3">D32-SUM(D34:D36)</f>
        <v>75376</v>
      </c>
      <c r="E37" s="197">
        <f t="shared" ref="E37" si="4">E32-SUM(E34:E36)</f>
        <v>0</v>
      </c>
      <c r="F37" s="197">
        <f>F32-SUM(F34:F36)</f>
        <v>474715</v>
      </c>
    </row>
    <row r="38" spans="1:6" x14ac:dyDescent="0.2">
      <c r="A38" s="192" t="s">
        <v>115</v>
      </c>
      <c r="B38" s="242">
        <f>18.08564673*1000</f>
        <v>18085.64673</v>
      </c>
      <c r="C38" s="242">
        <f>1.99976099*1000</f>
        <v>1999.76099</v>
      </c>
      <c r="D38" s="242">
        <f>2.12887812*1000</f>
        <v>2128.8781199999999</v>
      </c>
      <c r="E38" s="169"/>
      <c r="F38" s="169"/>
    </row>
    <row r="39" spans="1:6" x14ac:dyDescent="0.2">
      <c r="A39" s="192" t="s">
        <v>116</v>
      </c>
      <c r="B39" s="198">
        <f>B37/B38</f>
        <v>12.072391065663593</v>
      </c>
      <c r="C39" s="198">
        <f t="shared" ref="C39:D39" si="5">C37/C38</f>
        <v>90.51181661464453</v>
      </c>
      <c r="D39" s="198">
        <f t="shared" si="5"/>
        <v>35.406442149915094</v>
      </c>
      <c r="E39" s="169"/>
      <c r="F39" s="169"/>
    </row>
    <row r="40" spans="1:6" x14ac:dyDescent="0.2">
      <c r="A40" s="155"/>
      <c r="B40" s="169"/>
      <c r="C40" s="169"/>
      <c r="D40" s="169"/>
      <c r="E40" s="169"/>
      <c r="F40" s="169"/>
    </row>
    <row r="41" spans="1:6" ht="15" x14ac:dyDescent="0.25">
      <c r="A41" s="170"/>
      <c r="B41" s="171"/>
      <c r="C41" s="172"/>
      <c r="D41" s="173"/>
      <c r="E41" s="173"/>
      <c r="F41" s="172"/>
    </row>
    <row r="42" spans="1:6" ht="30" x14ac:dyDescent="0.25">
      <c r="A42" s="160" t="s">
        <v>190</v>
      </c>
      <c r="B42" s="161" t="s">
        <v>81</v>
      </c>
      <c r="C42" s="162" t="s">
        <v>86</v>
      </c>
      <c r="D42" s="162" t="s">
        <v>87</v>
      </c>
      <c r="E42" s="162" t="s">
        <v>108</v>
      </c>
      <c r="F42" s="163" t="s">
        <v>109</v>
      </c>
    </row>
    <row r="43" spans="1:6" x14ac:dyDescent="0.2">
      <c r="A43" s="156" t="s">
        <v>13</v>
      </c>
      <c r="B43" s="164"/>
      <c r="C43" s="165"/>
      <c r="D43" s="165"/>
      <c r="E43" s="165"/>
      <c r="F43" s="165"/>
    </row>
    <row r="44" spans="1:6" x14ac:dyDescent="0.2">
      <c r="A44" s="156" t="s">
        <v>152</v>
      </c>
      <c r="B44" s="169">
        <v>212729</v>
      </c>
      <c r="C44" s="169">
        <v>253262</v>
      </c>
      <c r="D44" s="169">
        <v>85978</v>
      </c>
      <c r="E44" s="169">
        <v>3214</v>
      </c>
      <c r="F44" s="169">
        <f>SUM(B44:E44)</f>
        <v>555183</v>
      </c>
    </row>
    <row r="45" spans="1:6" ht="25.5" x14ac:dyDescent="0.2">
      <c r="A45" s="156" t="s">
        <v>110</v>
      </c>
      <c r="B45" s="169"/>
      <c r="C45" s="169"/>
      <c r="D45" s="169"/>
      <c r="E45" s="169"/>
      <c r="F45" s="169"/>
    </row>
    <row r="46" spans="1:6" ht="25.5" x14ac:dyDescent="0.2">
      <c r="A46" s="167" t="s">
        <v>111</v>
      </c>
      <c r="B46" s="212">
        <v>0</v>
      </c>
      <c r="C46" s="196">
        <v>0</v>
      </c>
      <c r="D46" s="196">
        <v>2044</v>
      </c>
      <c r="E46" s="196">
        <v>0</v>
      </c>
      <c r="F46" s="212">
        <f>SUM(B46:E46)</f>
        <v>2044</v>
      </c>
    </row>
    <row r="47" spans="1:6" ht="25.5" x14ac:dyDescent="0.2">
      <c r="A47" s="167" t="s">
        <v>112</v>
      </c>
      <c r="B47" s="212">
        <v>0</v>
      </c>
      <c r="C47" s="196">
        <v>0</v>
      </c>
      <c r="D47" s="196">
        <v>0</v>
      </c>
      <c r="E47" s="196">
        <v>3214</v>
      </c>
      <c r="F47" s="212">
        <f>SUM(B47:E47)</f>
        <v>3214</v>
      </c>
    </row>
    <row r="48" spans="1:6" x14ac:dyDescent="0.2">
      <c r="A48" s="167" t="s">
        <v>113</v>
      </c>
      <c r="B48" s="212">
        <v>4006</v>
      </c>
      <c r="C48" s="196">
        <v>41298</v>
      </c>
      <c r="D48" s="196">
        <v>18882</v>
      </c>
      <c r="E48" s="196">
        <v>0</v>
      </c>
      <c r="F48" s="212">
        <f>SUM(B48:E48)</f>
        <v>64186</v>
      </c>
    </row>
    <row r="49" spans="1:6" x14ac:dyDescent="0.2">
      <c r="A49" s="156" t="s">
        <v>114</v>
      </c>
      <c r="B49" s="197">
        <f>B44-SUM(B46:B48)</f>
        <v>208723</v>
      </c>
      <c r="C49" s="197">
        <f t="shared" ref="C49" si="6">C44-SUM(C46:C48)</f>
        <v>211964</v>
      </c>
      <c r="D49" s="197">
        <f t="shared" ref="D49" si="7">D44-SUM(D46:D48)</f>
        <v>65052</v>
      </c>
      <c r="E49" s="197">
        <f t="shared" ref="E49" si="8">E44-SUM(E46:E48)</f>
        <v>0</v>
      </c>
      <c r="F49" s="197">
        <f>F44-SUM(F46:F48)</f>
        <v>485739</v>
      </c>
    </row>
    <row r="50" spans="1:6" x14ac:dyDescent="0.2">
      <c r="A50" s="156" t="s">
        <v>115</v>
      </c>
      <c r="B50" s="212">
        <v>17140.617699999999</v>
      </c>
      <c r="C50" s="212">
        <v>1793.0084100000001</v>
      </c>
      <c r="D50" s="212">
        <v>1686.1931400000001</v>
      </c>
      <c r="E50" s="169"/>
      <c r="F50" s="169"/>
    </row>
    <row r="51" spans="1:6" x14ac:dyDescent="0.2">
      <c r="A51" s="156" t="s">
        <v>116</v>
      </c>
      <c r="B51" s="198">
        <f>B49/B50</f>
        <v>12.177099078523874</v>
      </c>
      <c r="C51" s="198">
        <f t="shared" ref="C51" si="9">C49/C50</f>
        <v>118.21695805654363</v>
      </c>
      <c r="D51" s="198">
        <f t="shared" ref="D51" si="10">D49/D50</f>
        <v>38.579210445607671</v>
      </c>
      <c r="E51" s="169"/>
      <c r="F51" s="169"/>
    </row>
    <row r="52" spans="1:6" x14ac:dyDescent="0.2">
      <c r="A52" s="156"/>
      <c r="B52" s="164"/>
      <c r="C52" s="165"/>
      <c r="D52" s="165"/>
      <c r="E52" s="165"/>
      <c r="F52" s="165"/>
    </row>
    <row r="53" spans="1:6" ht="15" x14ac:dyDescent="0.25">
      <c r="A53" s="174"/>
      <c r="B53" s="175"/>
      <c r="C53" s="176"/>
      <c r="D53" s="177"/>
      <c r="E53" s="177"/>
      <c r="F53" s="176"/>
    </row>
  </sheetData>
  <mergeCells count="6">
    <mergeCell ref="A9:F9"/>
    <mergeCell ref="A1:I1"/>
    <mergeCell ref="A2:I2"/>
    <mergeCell ref="A3:I3"/>
    <mergeCell ref="A5:F5"/>
    <mergeCell ref="A6:F6"/>
  </mergeCells>
  <pageMargins left="0.7" right="0.7" top="0.75" bottom="0.75" header="0.3" footer="0.3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I97"/>
  <sheetViews>
    <sheetView workbookViewId="0">
      <selection activeCell="B44" sqref="B44"/>
    </sheetView>
  </sheetViews>
  <sheetFormatPr defaultRowHeight="12.75" x14ac:dyDescent="0.2"/>
  <cols>
    <col min="1" max="1" width="59.6640625" style="125" bestFit="1" customWidth="1"/>
    <col min="2" max="6" width="20.83203125" style="125" customWidth="1"/>
    <col min="7" max="7" width="9.33203125" style="125"/>
    <col min="8" max="8" width="14.33203125" style="125" customWidth="1"/>
    <col min="9" max="9" width="10.83203125" style="125" bestFit="1" customWidth="1"/>
    <col min="10" max="16384" width="9.33203125" style="125"/>
  </cols>
  <sheetData>
    <row r="1" spans="1:9" ht="15.75" x14ac:dyDescent="0.25">
      <c r="A1" s="270" t="s">
        <v>0</v>
      </c>
      <c r="B1" s="270"/>
      <c r="C1" s="271"/>
      <c r="D1" s="271"/>
      <c r="E1" s="271"/>
      <c r="F1" s="271"/>
      <c r="G1" s="271"/>
      <c r="H1" s="274"/>
      <c r="I1" s="274"/>
    </row>
    <row r="2" spans="1:9" ht="15.75" x14ac:dyDescent="0.25">
      <c r="A2" s="270" t="s">
        <v>107</v>
      </c>
      <c r="B2" s="270"/>
      <c r="C2" s="271"/>
      <c r="D2" s="271"/>
      <c r="E2" s="271"/>
      <c r="F2" s="271"/>
      <c r="G2" s="271"/>
      <c r="H2" s="275"/>
      <c r="I2" s="271"/>
    </row>
    <row r="3" spans="1:9" ht="15.75" x14ac:dyDescent="0.25">
      <c r="A3" s="270" t="s">
        <v>167</v>
      </c>
      <c r="B3" s="270"/>
      <c r="C3" s="271"/>
      <c r="D3" s="271"/>
      <c r="E3" s="271"/>
      <c r="F3" s="271"/>
      <c r="G3" s="271"/>
      <c r="H3" s="275"/>
      <c r="I3" s="271"/>
    </row>
    <row r="4" spans="1:9" x14ac:dyDescent="0.2">
      <c r="A4" s="157"/>
      <c r="B4" s="157"/>
      <c r="C4" s="157"/>
      <c r="D4" s="157"/>
      <c r="E4" s="157"/>
      <c r="F4" s="157"/>
      <c r="G4" s="157"/>
      <c r="H4" s="157"/>
      <c r="I4" s="157"/>
    </row>
    <row r="5" spans="1:9" x14ac:dyDescent="0.2">
      <c r="A5" s="180" t="s">
        <v>126</v>
      </c>
      <c r="B5" s="178"/>
      <c r="C5" s="178"/>
      <c r="D5" s="178"/>
      <c r="E5" s="178"/>
      <c r="F5" s="178"/>
    </row>
    <row r="6" spans="1:9" x14ac:dyDescent="0.2">
      <c r="A6" s="273"/>
      <c r="B6" s="273"/>
      <c r="C6" s="273"/>
      <c r="D6" s="273"/>
      <c r="E6" s="273"/>
      <c r="F6" s="273"/>
    </row>
    <row r="7" spans="1:9" x14ac:dyDescent="0.2">
      <c r="A7" s="181" t="s">
        <v>127</v>
      </c>
      <c r="B7" s="181"/>
      <c r="C7" s="181"/>
      <c r="D7" s="181"/>
      <c r="E7" s="181"/>
      <c r="F7" s="181"/>
    </row>
    <row r="8" spans="1:9" x14ac:dyDescent="0.2">
      <c r="A8" s="181" t="s">
        <v>128</v>
      </c>
      <c r="B8" s="179"/>
      <c r="C8" s="179"/>
      <c r="D8" s="179"/>
      <c r="E8" s="179"/>
      <c r="F8" s="179"/>
    </row>
    <row r="9" spans="1:9" ht="12.75" customHeight="1" x14ac:dyDescent="0.2">
      <c r="A9" s="182" t="s">
        <v>154</v>
      </c>
      <c r="B9" s="183"/>
      <c r="C9" s="183"/>
      <c r="D9" s="183"/>
      <c r="E9" s="183"/>
      <c r="F9" s="183"/>
    </row>
    <row r="10" spans="1:9" x14ac:dyDescent="0.2">
      <c r="A10" s="182" t="s">
        <v>155</v>
      </c>
      <c r="B10" s="183"/>
      <c r="C10" s="183"/>
      <c r="D10" s="183"/>
      <c r="E10" s="183"/>
      <c r="F10" s="183"/>
    </row>
    <row r="11" spans="1:9" x14ac:dyDescent="0.2">
      <c r="A11" s="182" t="s">
        <v>156</v>
      </c>
      <c r="B11" s="183"/>
      <c r="C11" s="183"/>
      <c r="D11" s="183"/>
      <c r="E11" s="183"/>
      <c r="F11" s="183"/>
    </row>
    <row r="12" spans="1:9" x14ac:dyDescent="0.2">
      <c r="A12" s="182" t="s">
        <v>157</v>
      </c>
      <c r="B12" s="183"/>
      <c r="C12" s="183"/>
      <c r="D12" s="183"/>
      <c r="E12" s="183"/>
      <c r="F12" s="183"/>
    </row>
    <row r="15" spans="1:9" ht="30" x14ac:dyDescent="0.25">
      <c r="A15" s="160" t="str">
        <f>'NON-GAAP Sales'!A18</f>
        <v>Quarter ended March 31, 2020</v>
      </c>
      <c r="B15" s="161" t="s">
        <v>81</v>
      </c>
      <c r="C15" s="162" t="s">
        <v>86</v>
      </c>
      <c r="D15" s="162" t="s">
        <v>87</v>
      </c>
      <c r="E15" s="162" t="s">
        <v>108</v>
      </c>
      <c r="F15" s="163" t="s">
        <v>109</v>
      </c>
    </row>
    <row r="16" spans="1:9" x14ac:dyDescent="0.2">
      <c r="A16" s="158" t="s">
        <v>13</v>
      </c>
      <c r="B16" s="164"/>
      <c r="C16" s="165"/>
      <c r="D16" s="165"/>
      <c r="E16" s="165"/>
      <c r="F16" s="165"/>
    </row>
    <row r="17" spans="1:9" ht="25.5" x14ac:dyDescent="0.2">
      <c r="A17" s="158" t="s">
        <v>158</v>
      </c>
      <c r="B17" s="169">
        <v>179617</v>
      </c>
      <c r="C17" s="169">
        <v>140331</v>
      </c>
      <c r="D17" s="169">
        <v>34770</v>
      </c>
      <c r="E17" s="169">
        <v>20281</v>
      </c>
      <c r="F17" s="169">
        <f>SUM(B17:E17)</f>
        <v>374999</v>
      </c>
      <c r="I17" s="245"/>
    </row>
    <row r="18" spans="1:9" ht="25.5" x14ac:dyDescent="0.2">
      <c r="A18" s="158" t="s">
        <v>117</v>
      </c>
      <c r="B18" s="169"/>
      <c r="C18" s="169"/>
      <c r="D18" s="169"/>
      <c r="E18" s="169"/>
      <c r="F18" s="169"/>
    </row>
    <row r="19" spans="1:9" ht="25.5" x14ac:dyDescent="0.2">
      <c r="A19" s="167" t="s">
        <v>118</v>
      </c>
      <c r="B19" s="212">
        <v>-686</v>
      </c>
      <c r="C19" s="196">
        <v>0</v>
      </c>
      <c r="D19" s="196">
        <v>0</v>
      </c>
      <c r="E19" s="196">
        <v>0</v>
      </c>
      <c r="F19" s="212">
        <f>SUM(B19:E19)</f>
        <v>-686</v>
      </c>
    </row>
    <row r="20" spans="1:9" x14ac:dyDescent="0.2">
      <c r="A20" s="167" t="s">
        <v>113</v>
      </c>
      <c r="B20" s="212">
        <f>'NON-GAAP Sales'!B24</f>
        <v>3918</v>
      </c>
      <c r="C20" s="212">
        <f>'NON-GAAP Sales'!C24</f>
        <v>36388</v>
      </c>
      <c r="D20" s="212">
        <f>'NON-GAAP Sales'!D24</f>
        <v>7555</v>
      </c>
      <c r="E20" s="212">
        <f>'NON-GAAP Sales'!E24</f>
        <v>33</v>
      </c>
      <c r="F20" s="212">
        <f t="shared" ref="F20:F22" si="0">SUM(B20:E20)</f>
        <v>47894</v>
      </c>
    </row>
    <row r="21" spans="1:9" ht="25.5" x14ac:dyDescent="0.2">
      <c r="A21" s="167" t="s">
        <v>119</v>
      </c>
      <c r="B21" s="212">
        <v>0</v>
      </c>
      <c r="C21" s="196">
        <v>0</v>
      </c>
      <c r="D21" s="196">
        <v>0</v>
      </c>
      <c r="E21" s="196">
        <v>17885</v>
      </c>
      <c r="F21" s="212">
        <f t="shared" si="0"/>
        <v>17885</v>
      </c>
    </row>
    <row r="22" spans="1:9" x14ac:dyDescent="0.2">
      <c r="A22" s="167" t="s">
        <v>120</v>
      </c>
      <c r="B22" s="212">
        <v>0</v>
      </c>
      <c r="C22" s="196">
        <v>0</v>
      </c>
      <c r="D22" s="196">
        <v>0</v>
      </c>
      <c r="E22" s="212">
        <v>2363</v>
      </c>
      <c r="F22" s="212">
        <f t="shared" si="0"/>
        <v>2363</v>
      </c>
    </row>
    <row r="23" spans="1:9" ht="13.5" thickBot="1" x14ac:dyDescent="0.25">
      <c r="A23" s="158" t="s">
        <v>121</v>
      </c>
      <c r="B23" s="199">
        <f>B17-SUM(B19:B22)</f>
        <v>176385</v>
      </c>
      <c r="C23" s="199">
        <f t="shared" ref="C23" si="1">C17-SUM(C19:C22)</f>
        <v>103943</v>
      </c>
      <c r="D23" s="199">
        <f t="shared" ref="D23" si="2">D17-SUM(D19:D22)</f>
        <v>27215</v>
      </c>
      <c r="E23" s="199">
        <f t="shared" ref="E23" si="3">E17-SUM(E19:E22)</f>
        <v>0</v>
      </c>
      <c r="F23" s="199">
        <f t="shared" ref="F23" si="4">F17-SUM(F19:F22)</f>
        <v>307543</v>
      </c>
    </row>
    <row r="24" spans="1:9" ht="13.5" thickTop="1" x14ac:dyDescent="0.2">
      <c r="A24" s="158" t="s">
        <v>115</v>
      </c>
      <c r="B24" s="212">
        <f>'NON-GAAP Sales'!B26</f>
        <v>14171.967989999999</v>
      </c>
      <c r="C24" s="212">
        <f>'NON-GAAP Sales'!C26</f>
        <v>1779.2315500000002</v>
      </c>
      <c r="D24" s="212">
        <f>'NON-GAAP Sales'!D26</f>
        <v>743.33667000000003</v>
      </c>
      <c r="E24" s="169"/>
      <c r="F24" s="169"/>
    </row>
    <row r="25" spans="1:9" x14ac:dyDescent="0.2">
      <c r="A25" s="158" t="s">
        <v>122</v>
      </c>
      <c r="B25" s="198">
        <f>B23/B24</f>
        <v>12.446048433390514</v>
      </c>
      <c r="C25" s="198">
        <f>C23/C24</f>
        <v>58.420164592967112</v>
      </c>
      <c r="D25" s="198">
        <f>D23/D24</f>
        <v>36.611943280021421</v>
      </c>
      <c r="E25" s="169"/>
      <c r="F25" s="169"/>
    </row>
    <row r="26" spans="1:9" x14ac:dyDescent="0.2">
      <c r="A26" s="158"/>
      <c r="B26" s="166"/>
      <c r="C26" s="166"/>
      <c r="D26" s="166"/>
      <c r="E26" s="166"/>
      <c r="F26" s="166"/>
    </row>
    <row r="27" spans="1:9" ht="15" x14ac:dyDescent="0.25">
      <c r="A27" s="174"/>
      <c r="B27" s="175"/>
      <c r="C27" s="176"/>
      <c r="D27" s="175"/>
      <c r="E27" s="177"/>
      <c r="F27" s="176"/>
    </row>
    <row r="28" spans="1:9" ht="30" x14ac:dyDescent="0.25">
      <c r="A28" s="160" t="str">
        <f>'NON-GAAP Sales'!A30</f>
        <v>Quarter ended December 31, 2019</v>
      </c>
      <c r="B28" s="161" t="s">
        <v>81</v>
      </c>
      <c r="C28" s="162" t="s">
        <v>86</v>
      </c>
      <c r="D28" s="162" t="s">
        <v>87</v>
      </c>
      <c r="E28" s="162" t="s">
        <v>108</v>
      </c>
      <c r="F28" s="163" t="s">
        <v>109</v>
      </c>
    </row>
    <row r="29" spans="1:9" x14ac:dyDescent="0.2">
      <c r="A29" s="158" t="s">
        <v>13</v>
      </c>
      <c r="B29" s="164"/>
      <c r="C29" s="165"/>
      <c r="D29" s="165"/>
      <c r="E29" s="165"/>
      <c r="F29" s="165"/>
    </row>
    <row r="30" spans="1:9" ht="25.5" x14ac:dyDescent="0.2">
      <c r="A30" s="158" t="s">
        <v>158</v>
      </c>
      <c r="B30" s="169">
        <v>197434</v>
      </c>
      <c r="C30" s="169">
        <v>181192</v>
      </c>
      <c r="D30" s="169">
        <v>94565</v>
      </c>
      <c r="E30" s="169">
        <v>19263</v>
      </c>
      <c r="F30" s="169">
        <f>SUM(B30:E30)</f>
        <v>492454</v>
      </c>
    </row>
    <row r="31" spans="1:9" ht="25.5" x14ac:dyDescent="0.2">
      <c r="A31" s="158" t="s">
        <v>117</v>
      </c>
      <c r="B31" s="169"/>
      <c r="C31" s="169"/>
      <c r="D31" s="169"/>
      <c r="E31" s="169"/>
      <c r="F31" s="169"/>
    </row>
    <row r="32" spans="1:9" ht="25.5" x14ac:dyDescent="0.2">
      <c r="A32" s="167" t="s">
        <v>118</v>
      </c>
      <c r="B32" s="212">
        <v>-728</v>
      </c>
      <c r="C32" s="196">
        <v>0</v>
      </c>
      <c r="D32" s="196">
        <v>0</v>
      </c>
      <c r="E32" s="196">
        <v>0</v>
      </c>
      <c r="F32" s="195">
        <f>SUM(B32:E32)</f>
        <v>-728</v>
      </c>
    </row>
    <row r="33" spans="1:6" x14ac:dyDescent="0.2">
      <c r="A33" s="167" t="s">
        <v>113</v>
      </c>
      <c r="B33" s="213">
        <f>'NON-GAAP Sales'!B36</f>
        <v>4567</v>
      </c>
      <c r="C33" s="213">
        <f>'NON-GAAP Sales'!C36</f>
        <v>41165</v>
      </c>
      <c r="D33" s="213">
        <f>'NON-GAAP Sales'!D36</f>
        <v>26849</v>
      </c>
      <c r="E33" s="213">
        <f>'NON-GAAP Sales'!E36</f>
        <v>32</v>
      </c>
      <c r="F33" s="195">
        <f t="shared" ref="F33:F35" si="5">SUM(B33:E33)</f>
        <v>72613</v>
      </c>
    </row>
    <row r="34" spans="1:6" ht="25.5" x14ac:dyDescent="0.2">
      <c r="A34" s="167" t="s">
        <v>119</v>
      </c>
      <c r="B34" s="212">
        <v>0</v>
      </c>
      <c r="C34" s="196">
        <v>0</v>
      </c>
      <c r="D34" s="196">
        <v>0</v>
      </c>
      <c r="E34" s="196">
        <v>16023</v>
      </c>
      <c r="F34" s="195">
        <f t="shared" si="5"/>
        <v>16023</v>
      </c>
    </row>
    <row r="35" spans="1:6" x14ac:dyDescent="0.2">
      <c r="A35" s="167" t="s">
        <v>120</v>
      </c>
      <c r="B35" s="212">
        <v>0</v>
      </c>
      <c r="C35" s="196">
        <v>0</v>
      </c>
      <c r="D35" s="196">
        <v>0</v>
      </c>
      <c r="E35" s="212">
        <v>3208</v>
      </c>
      <c r="F35" s="195">
        <f t="shared" si="5"/>
        <v>3208</v>
      </c>
    </row>
    <row r="36" spans="1:6" ht="13.5" thickBot="1" x14ac:dyDescent="0.25">
      <c r="A36" s="158" t="s">
        <v>121</v>
      </c>
      <c r="B36" s="199">
        <f>B30-SUM(B32:B35)</f>
        <v>193595</v>
      </c>
      <c r="C36" s="199">
        <f t="shared" ref="C36:F36" si="6">C30-SUM(C32:C35)</f>
        <v>140027</v>
      </c>
      <c r="D36" s="199">
        <f t="shared" si="6"/>
        <v>67716</v>
      </c>
      <c r="E36" s="199">
        <f t="shared" si="6"/>
        <v>0</v>
      </c>
      <c r="F36" s="199">
        <f t="shared" si="6"/>
        <v>401338</v>
      </c>
    </row>
    <row r="37" spans="1:6" ht="13.5" thickTop="1" x14ac:dyDescent="0.2">
      <c r="A37" s="158" t="s">
        <v>115</v>
      </c>
      <c r="B37" s="213">
        <f>'NON-GAAP Sales'!B38</f>
        <v>18085.64673</v>
      </c>
      <c r="C37" s="213">
        <f>'NON-GAAP Sales'!C38</f>
        <v>1999.76099</v>
      </c>
      <c r="D37" s="213">
        <f>'NON-GAAP Sales'!D38</f>
        <v>2128.8781199999999</v>
      </c>
      <c r="E37" s="169"/>
      <c r="F37" s="169"/>
    </row>
    <row r="38" spans="1:6" x14ac:dyDescent="0.2">
      <c r="A38" s="158" t="s">
        <v>122</v>
      </c>
      <c r="B38" s="198">
        <f>B36/B37</f>
        <v>10.704344881340054</v>
      </c>
      <c r="C38" s="198">
        <f>C36/C37</f>
        <v>70.021867963330962</v>
      </c>
      <c r="D38" s="198">
        <f>D36/D37</f>
        <v>31.808302863294028</v>
      </c>
      <c r="E38" s="169"/>
      <c r="F38" s="169"/>
    </row>
    <row r="39" spans="1:6" x14ac:dyDescent="0.2">
      <c r="A39" s="158"/>
      <c r="B39" s="164"/>
      <c r="C39" s="165"/>
      <c r="D39" s="165"/>
      <c r="E39" s="165"/>
      <c r="F39" s="165"/>
    </row>
    <row r="40" spans="1:6" ht="15" x14ac:dyDescent="0.25">
      <c r="A40" s="174"/>
      <c r="B40" s="175"/>
      <c r="C40" s="176"/>
      <c r="D40" s="177"/>
      <c r="E40" s="177"/>
      <c r="F40" s="176"/>
    </row>
    <row r="41" spans="1:6" ht="30" x14ac:dyDescent="0.25">
      <c r="A41" s="160" t="str">
        <f>'NON-GAAP Sales'!A42</f>
        <v>Quarter ended March 31, 2019</v>
      </c>
      <c r="B41" s="161" t="s">
        <v>81</v>
      </c>
      <c r="C41" s="162" t="s">
        <v>86</v>
      </c>
      <c r="D41" s="162" t="s">
        <v>87</v>
      </c>
      <c r="E41" s="162" t="s">
        <v>108</v>
      </c>
      <c r="F41" s="163" t="s">
        <v>109</v>
      </c>
    </row>
    <row r="42" spans="1:6" x14ac:dyDescent="0.2">
      <c r="A42" s="158" t="s">
        <v>13</v>
      </c>
      <c r="B42" s="164"/>
      <c r="C42" s="165"/>
      <c r="D42" s="165"/>
      <c r="E42" s="165"/>
      <c r="F42" s="165"/>
    </row>
    <row r="43" spans="1:6" ht="25.5" x14ac:dyDescent="0.2">
      <c r="A43" s="218" t="s">
        <v>158</v>
      </c>
      <c r="B43" s="169">
        <v>191648</v>
      </c>
      <c r="C43" s="169">
        <v>161911</v>
      </c>
      <c r="D43" s="169">
        <v>78366</v>
      </c>
      <c r="E43" s="169">
        <v>6546</v>
      </c>
      <c r="F43" s="169">
        <f>SUM(B43:E43)</f>
        <v>438471</v>
      </c>
    </row>
    <row r="44" spans="1:6" ht="25.5" x14ac:dyDescent="0.2">
      <c r="A44" s="218" t="s">
        <v>117</v>
      </c>
      <c r="B44" s="169"/>
      <c r="C44" s="169"/>
      <c r="D44" s="169"/>
      <c r="E44" s="169"/>
      <c r="F44" s="169"/>
    </row>
    <row r="45" spans="1:6" ht="25.5" x14ac:dyDescent="0.2">
      <c r="A45" s="167" t="s">
        <v>118</v>
      </c>
      <c r="B45" s="212">
        <v>-638</v>
      </c>
      <c r="C45" s="196">
        <v>0</v>
      </c>
      <c r="D45" s="196">
        <v>0</v>
      </c>
      <c r="E45" s="196">
        <v>0</v>
      </c>
      <c r="F45" s="212">
        <f>SUM(B45:E45)</f>
        <v>-638</v>
      </c>
    </row>
    <row r="46" spans="1:6" x14ac:dyDescent="0.2">
      <c r="A46" s="167" t="s">
        <v>113</v>
      </c>
      <c r="B46" s="213">
        <f>'NON-GAAP Sales'!B48</f>
        <v>4006</v>
      </c>
      <c r="C46" s="213">
        <f>'NON-GAAP Sales'!C48</f>
        <v>41298</v>
      </c>
      <c r="D46" s="213">
        <f>'NON-GAAP Sales'!D48</f>
        <v>18882</v>
      </c>
      <c r="E46" s="213">
        <f>'NON-GAAP Sales'!E48</f>
        <v>0</v>
      </c>
      <c r="F46" s="212">
        <f t="shared" ref="F46:F48" si="7">SUM(B46:E46)</f>
        <v>64186</v>
      </c>
    </row>
    <row r="47" spans="1:6" ht="25.5" x14ac:dyDescent="0.2">
      <c r="A47" s="167" t="s">
        <v>119</v>
      </c>
      <c r="B47" s="212">
        <v>0</v>
      </c>
      <c r="C47" s="196">
        <v>0</v>
      </c>
      <c r="D47" s="196">
        <v>0</v>
      </c>
      <c r="E47" s="196">
        <v>4239</v>
      </c>
      <c r="F47" s="212">
        <f t="shared" si="7"/>
        <v>4239</v>
      </c>
    </row>
    <row r="48" spans="1:6" x14ac:dyDescent="0.2">
      <c r="A48" s="167" t="s">
        <v>120</v>
      </c>
      <c r="B48" s="212">
        <v>0</v>
      </c>
      <c r="C48" s="196">
        <v>0</v>
      </c>
      <c r="D48" s="196">
        <v>0</v>
      </c>
      <c r="E48" s="212">
        <v>2307</v>
      </c>
      <c r="F48" s="212">
        <f t="shared" si="7"/>
        <v>2307</v>
      </c>
    </row>
    <row r="49" spans="1:6" ht="13.5" thickBot="1" x14ac:dyDescent="0.25">
      <c r="A49" s="218" t="s">
        <v>121</v>
      </c>
      <c r="B49" s="199">
        <f>B43-SUM(B45:B48)</f>
        <v>188280</v>
      </c>
      <c r="C49" s="199">
        <f t="shared" ref="C49" si="8">C43-SUM(C45:C48)</f>
        <v>120613</v>
      </c>
      <c r="D49" s="199">
        <f t="shared" ref="D49" si="9">D43-SUM(D45:D48)</f>
        <v>59484</v>
      </c>
      <c r="E49" s="199">
        <f t="shared" ref="E49" si="10">E43-SUM(E45:E48)</f>
        <v>0</v>
      </c>
      <c r="F49" s="199">
        <f t="shared" ref="F49" si="11">F43-SUM(F45:F48)</f>
        <v>368377</v>
      </c>
    </row>
    <row r="50" spans="1:6" ht="13.5" thickTop="1" x14ac:dyDescent="0.2">
      <c r="A50" s="218" t="s">
        <v>115</v>
      </c>
      <c r="B50" s="212">
        <f>'NON-GAAP Sales'!B50</f>
        <v>17140.617699999999</v>
      </c>
      <c r="C50" s="212">
        <f>'NON-GAAP Sales'!C50</f>
        <v>1793.0084100000001</v>
      </c>
      <c r="D50" s="212">
        <f>'NON-GAAP Sales'!D50</f>
        <v>1686.1931400000001</v>
      </c>
      <c r="E50" s="169"/>
      <c r="F50" s="169"/>
    </row>
    <row r="51" spans="1:6" x14ac:dyDescent="0.2">
      <c r="A51" s="218" t="s">
        <v>122</v>
      </c>
      <c r="B51" s="198">
        <f>B49/B50</f>
        <v>10.984434942505018</v>
      </c>
      <c r="C51" s="198">
        <f t="shared" ref="C51" si="12">C49/C50</f>
        <v>67.268507680898153</v>
      </c>
      <c r="D51" s="198">
        <f t="shared" ref="D51" si="13">D49/D50</f>
        <v>35.277097616468772</v>
      </c>
      <c r="E51" s="169"/>
      <c r="F51" s="169"/>
    </row>
    <row r="52" spans="1:6" x14ac:dyDescent="0.2">
      <c r="A52" s="158"/>
      <c r="B52" s="164"/>
      <c r="C52" s="165"/>
      <c r="D52" s="165"/>
      <c r="E52" s="165"/>
      <c r="F52" s="165"/>
    </row>
    <row r="53" spans="1:6" ht="15" x14ac:dyDescent="0.25">
      <c r="A53" s="174"/>
      <c r="B53" s="175"/>
      <c r="C53" s="176"/>
      <c r="D53" s="177"/>
      <c r="E53" s="177"/>
      <c r="F53" s="176"/>
    </row>
    <row r="54" spans="1:6" x14ac:dyDescent="0.2">
      <c r="A54" s="168"/>
      <c r="B54" s="168"/>
      <c r="C54" s="168"/>
      <c r="D54" s="168"/>
      <c r="E54" s="168"/>
      <c r="F54" s="168"/>
    </row>
    <row r="55" spans="1:6" x14ac:dyDescent="0.2">
      <c r="A55" s="168"/>
      <c r="B55" s="168"/>
      <c r="C55" s="168"/>
      <c r="D55" s="168"/>
      <c r="E55" s="168"/>
      <c r="F55" s="168"/>
    </row>
    <row r="56" spans="1:6" x14ac:dyDescent="0.2">
      <c r="A56" s="168"/>
      <c r="B56" s="168"/>
      <c r="C56" s="168"/>
      <c r="D56" s="168"/>
      <c r="E56" s="168"/>
      <c r="F56" s="168"/>
    </row>
    <row r="57" spans="1:6" x14ac:dyDescent="0.2">
      <c r="A57" s="168"/>
      <c r="B57" s="168"/>
      <c r="C57" s="168"/>
      <c r="D57" s="168"/>
      <c r="E57" s="168"/>
      <c r="F57" s="168"/>
    </row>
    <row r="58" spans="1:6" x14ac:dyDescent="0.2">
      <c r="A58" s="168"/>
      <c r="B58" s="168"/>
      <c r="C58" s="168"/>
      <c r="D58" s="168"/>
      <c r="E58" s="168"/>
      <c r="F58" s="168"/>
    </row>
    <row r="59" spans="1:6" x14ac:dyDescent="0.2">
      <c r="A59" s="168"/>
      <c r="B59" s="168"/>
      <c r="C59" s="168"/>
      <c r="D59" s="168"/>
      <c r="E59" s="168"/>
      <c r="F59" s="168"/>
    </row>
    <row r="60" spans="1:6" x14ac:dyDescent="0.2">
      <c r="A60" s="168"/>
      <c r="B60" s="168"/>
      <c r="C60" s="168"/>
      <c r="D60" s="168"/>
      <c r="E60" s="168"/>
      <c r="F60" s="168"/>
    </row>
    <row r="61" spans="1:6" x14ac:dyDescent="0.2">
      <c r="A61" s="168"/>
      <c r="B61" s="168"/>
      <c r="C61" s="168"/>
      <c r="D61" s="168"/>
      <c r="E61" s="168"/>
      <c r="F61" s="168"/>
    </row>
    <row r="62" spans="1:6" x14ac:dyDescent="0.2">
      <c r="A62" s="168"/>
      <c r="B62" s="168"/>
      <c r="C62" s="168"/>
      <c r="D62" s="168"/>
      <c r="E62" s="168"/>
      <c r="F62" s="168"/>
    </row>
    <row r="63" spans="1:6" x14ac:dyDescent="0.2">
      <c r="A63" s="168"/>
      <c r="B63" s="168"/>
      <c r="C63" s="168"/>
      <c r="D63" s="168"/>
      <c r="E63" s="168"/>
      <c r="F63" s="168"/>
    </row>
    <row r="64" spans="1:6" x14ac:dyDescent="0.2">
      <c r="A64" s="168"/>
      <c r="B64" s="168"/>
      <c r="C64" s="168"/>
      <c r="D64" s="168"/>
      <c r="E64" s="168"/>
      <c r="F64" s="168"/>
    </row>
    <row r="65" spans="1:6" x14ac:dyDescent="0.2">
      <c r="A65" s="168"/>
      <c r="B65" s="168"/>
      <c r="C65" s="168"/>
      <c r="D65" s="168"/>
      <c r="E65" s="168"/>
      <c r="F65" s="168"/>
    </row>
    <row r="66" spans="1:6" x14ac:dyDescent="0.2">
      <c r="A66" s="168"/>
      <c r="B66" s="168"/>
      <c r="C66" s="168"/>
      <c r="D66" s="168"/>
      <c r="E66" s="168"/>
      <c r="F66" s="168"/>
    </row>
    <row r="67" spans="1:6" x14ac:dyDescent="0.2">
      <c r="A67" s="168"/>
      <c r="B67" s="168"/>
      <c r="C67" s="168"/>
      <c r="D67" s="168"/>
      <c r="E67" s="168"/>
      <c r="F67" s="168"/>
    </row>
    <row r="68" spans="1:6" x14ac:dyDescent="0.2">
      <c r="A68" s="168"/>
      <c r="B68" s="168"/>
      <c r="C68" s="168"/>
      <c r="D68" s="168"/>
      <c r="E68" s="168"/>
      <c r="F68" s="168"/>
    </row>
    <row r="69" spans="1:6" x14ac:dyDescent="0.2">
      <c r="A69" s="168"/>
      <c r="B69" s="168"/>
      <c r="C69" s="168"/>
      <c r="D69" s="168"/>
      <c r="E69" s="168"/>
      <c r="F69" s="168"/>
    </row>
    <row r="70" spans="1:6" x14ac:dyDescent="0.2">
      <c r="A70" s="168"/>
      <c r="B70" s="168"/>
      <c r="C70" s="168"/>
      <c r="D70" s="168"/>
      <c r="E70" s="168"/>
      <c r="F70" s="168"/>
    </row>
    <row r="71" spans="1:6" x14ac:dyDescent="0.2">
      <c r="A71" s="168"/>
      <c r="B71" s="168"/>
      <c r="C71" s="168"/>
      <c r="D71" s="168"/>
      <c r="E71" s="168"/>
      <c r="F71" s="168"/>
    </row>
    <row r="72" spans="1:6" x14ac:dyDescent="0.2">
      <c r="A72" s="168"/>
      <c r="B72" s="168"/>
      <c r="C72" s="168"/>
      <c r="D72" s="168"/>
      <c r="E72" s="168"/>
      <c r="F72" s="168"/>
    </row>
    <row r="73" spans="1:6" x14ac:dyDescent="0.2">
      <c r="A73" s="168"/>
      <c r="B73" s="168"/>
      <c r="C73" s="168"/>
      <c r="D73" s="168"/>
      <c r="E73" s="168"/>
      <c r="F73" s="168"/>
    </row>
    <row r="74" spans="1:6" x14ac:dyDescent="0.2">
      <c r="A74" s="168"/>
      <c r="B74" s="168"/>
      <c r="C74" s="168"/>
      <c r="D74" s="168"/>
      <c r="E74" s="168"/>
      <c r="F74" s="168"/>
    </row>
    <row r="75" spans="1:6" x14ac:dyDescent="0.2">
      <c r="A75" s="168"/>
      <c r="B75" s="168"/>
      <c r="C75" s="168"/>
      <c r="D75" s="168"/>
      <c r="E75" s="168"/>
      <c r="F75" s="168"/>
    </row>
    <row r="76" spans="1:6" x14ac:dyDescent="0.2">
      <c r="A76" s="168"/>
      <c r="B76" s="168"/>
      <c r="C76" s="168"/>
      <c r="D76" s="168"/>
      <c r="E76" s="168"/>
      <c r="F76" s="168"/>
    </row>
    <row r="77" spans="1:6" x14ac:dyDescent="0.2">
      <c r="A77" s="168"/>
      <c r="B77" s="168"/>
      <c r="C77" s="168"/>
      <c r="D77" s="168"/>
      <c r="E77" s="168"/>
      <c r="F77" s="168"/>
    </row>
    <row r="78" spans="1:6" x14ac:dyDescent="0.2">
      <c r="A78" s="168"/>
      <c r="B78" s="168"/>
      <c r="C78" s="168"/>
      <c r="D78" s="168"/>
      <c r="E78" s="168"/>
      <c r="F78" s="168"/>
    </row>
    <row r="79" spans="1:6" x14ac:dyDescent="0.2">
      <c r="A79" s="168"/>
      <c r="B79" s="168"/>
      <c r="C79" s="168"/>
      <c r="D79" s="168"/>
      <c r="E79" s="168"/>
      <c r="F79" s="168"/>
    </row>
    <row r="80" spans="1:6" x14ac:dyDescent="0.2">
      <c r="A80" s="168"/>
      <c r="B80" s="168"/>
      <c r="C80" s="168"/>
      <c r="D80" s="168"/>
      <c r="E80" s="168"/>
      <c r="F80" s="168"/>
    </row>
    <row r="81" spans="1:6" x14ac:dyDescent="0.2">
      <c r="A81" s="168"/>
      <c r="B81" s="168"/>
      <c r="C81" s="168"/>
      <c r="D81" s="168"/>
      <c r="E81" s="168"/>
      <c r="F81" s="168"/>
    </row>
    <row r="82" spans="1:6" x14ac:dyDescent="0.2">
      <c r="A82" s="168"/>
      <c r="B82" s="168"/>
      <c r="C82" s="168"/>
      <c r="D82" s="168"/>
      <c r="E82" s="168"/>
      <c r="F82" s="168"/>
    </row>
    <row r="83" spans="1:6" x14ac:dyDescent="0.2">
      <c r="A83" s="168"/>
      <c r="B83" s="168"/>
      <c r="C83" s="168"/>
      <c r="D83" s="168"/>
      <c r="E83" s="168"/>
      <c r="F83" s="168"/>
    </row>
    <row r="84" spans="1:6" x14ac:dyDescent="0.2">
      <c r="A84" s="168"/>
      <c r="B84" s="168"/>
      <c r="C84" s="168"/>
      <c r="D84" s="168"/>
      <c r="E84" s="168"/>
      <c r="F84" s="168"/>
    </row>
    <row r="85" spans="1:6" x14ac:dyDescent="0.2">
      <c r="A85" s="168"/>
      <c r="B85" s="168"/>
      <c r="C85" s="168"/>
      <c r="D85" s="168"/>
      <c r="E85" s="168"/>
      <c r="F85" s="168"/>
    </row>
    <row r="86" spans="1:6" x14ac:dyDescent="0.2">
      <c r="A86" s="168"/>
      <c r="B86" s="168"/>
      <c r="C86" s="168"/>
      <c r="D86" s="168"/>
      <c r="E86" s="168"/>
      <c r="F86" s="168"/>
    </row>
    <row r="87" spans="1:6" x14ac:dyDescent="0.2">
      <c r="A87" s="168"/>
      <c r="B87" s="168"/>
      <c r="C87" s="168"/>
      <c r="D87" s="168"/>
      <c r="E87" s="168"/>
      <c r="F87" s="168"/>
    </row>
    <row r="88" spans="1:6" x14ac:dyDescent="0.2">
      <c r="A88" s="168"/>
      <c r="B88" s="168"/>
      <c r="C88" s="168"/>
      <c r="D88" s="168"/>
      <c r="E88" s="168"/>
      <c r="F88" s="168"/>
    </row>
    <row r="89" spans="1:6" x14ac:dyDescent="0.2">
      <c r="A89" s="168"/>
      <c r="B89" s="168"/>
      <c r="C89" s="168"/>
      <c r="D89" s="168"/>
      <c r="E89" s="168"/>
      <c r="F89" s="168"/>
    </row>
    <row r="90" spans="1:6" x14ac:dyDescent="0.2">
      <c r="A90" s="168"/>
      <c r="B90" s="168"/>
      <c r="C90" s="168"/>
      <c r="D90" s="168"/>
      <c r="E90" s="168"/>
      <c r="F90" s="168"/>
    </row>
    <row r="91" spans="1:6" x14ac:dyDescent="0.2">
      <c r="A91" s="168"/>
      <c r="B91" s="168"/>
      <c r="C91" s="168"/>
      <c r="D91" s="168"/>
      <c r="E91" s="168"/>
      <c r="F91" s="168"/>
    </row>
    <row r="92" spans="1:6" x14ac:dyDescent="0.2">
      <c r="A92" s="168"/>
      <c r="B92" s="168"/>
      <c r="C92" s="168"/>
      <c r="D92" s="168"/>
      <c r="E92" s="168"/>
      <c r="F92" s="168"/>
    </row>
    <row r="93" spans="1:6" x14ac:dyDescent="0.2">
      <c r="A93" s="168"/>
      <c r="B93" s="168"/>
      <c r="C93" s="168"/>
      <c r="D93" s="168"/>
      <c r="E93" s="168"/>
      <c r="F93" s="168"/>
    </row>
    <row r="94" spans="1:6" x14ac:dyDescent="0.2">
      <c r="A94" s="168"/>
      <c r="B94" s="168"/>
      <c r="C94" s="168"/>
      <c r="D94" s="168"/>
      <c r="E94" s="168"/>
      <c r="F94" s="168"/>
    </row>
    <row r="95" spans="1:6" x14ac:dyDescent="0.2">
      <c r="A95" s="168"/>
      <c r="B95" s="168"/>
      <c r="C95" s="168"/>
      <c r="D95" s="168"/>
      <c r="E95" s="168"/>
      <c r="F95" s="168"/>
    </row>
    <row r="96" spans="1:6" x14ac:dyDescent="0.2">
      <c r="A96" s="168"/>
      <c r="B96" s="168"/>
      <c r="C96" s="168"/>
      <c r="D96" s="168"/>
      <c r="E96" s="168"/>
      <c r="F96" s="168"/>
    </row>
    <row r="97" spans="1:6" x14ac:dyDescent="0.2">
      <c r="A97" s="168"/>
      <c r="B97" s="168"/>
      <c r="C97" s="168"/>
      <c r="D97" s="168"/>
      <c r="E97" s="168"/>
      <c r="F97" s="168"/>
    </row>
  </sheetData>
  <mergeCells count="4">
    <mergeCell ref="A1:I1"/>
    <mergeCell ref="A2:I2"/>
    <mergeCell ref="A3:I3"/>
    <mergeCell ref="A6:F6"/>
  </mergeCells>
  <pageMargins left="0.7" right="0.7" top="0.75" bottom="0.75" header="0.3" footer="0.3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J51"/>
  <sheetViews>
    <sheetView zoomScaleNormal="100" workbookViewId="0">
      <selection activeCell="A32" sqref="A32"/>
    </sheetView>
  </sheetViews>
  <sheetFormatPr defaultColWidth="21.5" defaultRowHeight="13.5" customHeight="1" x14ac:dyDescent="0.2"/>
  <cols>
    <col min="1" max="1" width="75.83203125" style="1" customWidth="1"/>
    <col min="2" max="3" width="17.83203125" style="1" customWidth="1"/>
    <col min="4" max="4" width="1" style="1" hidden="1" customWidth="1"/>
    <col min="5" max="6" width="17.83203125" style="1" hidden="1" customWidth="1"/>
    <col min="7" max="16384" width="21.5" style="1"/>
  </cols>
  <sheetData>
    <row r="1" spans="1:7" ht="13.5" customHeight="1" x14ac:dyDescent="0.25">
      <c r="A1" s="260" t="s">
        <v>0</v>
      </c>
      <c r="B1" s="265"/>
      <c r="C1" s="276"/>
      <c r="D1" s="276"/>
      <c r="E1" s="264"/>
      <c r="F1" s="264"/>
      <c r="G1" s="3"/>
    </row>
    <row r="2" spans="1:7" ht="13.5" customHeight="1" x14ac:dyDescent="0.25">
      <c r="A2" s="260" t="s">
        <v>44</v>
      </c>
      <c r="B2" s="265"/>
      <c r="C2" s="276"/>
      <c r="D2" s="276"/>
      <c r="E2" s="276"/>
      <c r="F2" s="265"/>
      <c r="G2" s="3"/>
    </row>
    <row r="3" spans="1:7" ht="13.5" customHeight="1" x14ac:dyDescent="0.25">
      <c r="A3" s="260" t="s">
        <v>13</v>
      </c>
      <c r="B3" s="265"/>
      <c r="C3" s="276"/>
      <c r="D3" s="276"/>
      <c r="E3" s="276"/>
      <c r="F3" s="265"/>
      <c r="G3" s="3"/>
    </row>
    <row r="4" spans="1:7" ht="13.5" customHeight="1" x14ac:dyDescent="0.2">
      <c r="A4" s="3"/>
      <c r="B4" s="3"/>
      <c r="C4" s="3"/>
      <c r="D4" s="3"/>
      <c r="E4" s="3"/>
      <c r="F4" s="3"/>
      <c r="G4" s="3"/>
    </row>
    <row r="5" spans="1:7" ht="13.5" customHeight="1" x14ac:dyDescent="0.2">
      <c r="A5" s="4" t="s">
        <v>133</v>
      </c>
      <c r="B5" s="3"/>
      <c r="C5" s="3"/>
      <c r="D5" s="3"/>
      <c r="E5" s="3"/>
      <c r="F5" s="3"/>
      <c r="G5" s="3"/>
    </row>
    <row r="6" spans="1:7" ht="13.5" customHeight="1" x14ac:dyDescent="0.2">
      <c r="A6" s="3"/>
      <c r="B6" s="3"/>
      <c r="C6" s="3"/>
      <c r="D6" s="3"/>
      <c r="E6" s="3"/>
      <c r="F6" s="3"/>
      <c r="G6" s="3"/>
    </row>
    <row r="7" spans="1:7" ht="13.5" customHeight="1" x14ac:dyDescent="0.2">
      <c r="A7" s="268" t="s">
        <v>134</v>
      </c>
      <c r="B7" s="265"/>
      <c r="C7" s="265"/>
      <c r="D7" s="265"/>
      <c r="E7" s="265"/>
      <c r="F7" s="265"/>
      <c r="G7" s="3"/>
    </row>
    <row r="8" spans="1:7" ht="13.5" customHeight="1" x14ac:dyDescent="0.2">
      <c r="A8" s="268" t="s">
        <v>135</v>
      </c>
      <c r="B8" s="265"/>
      <c r="C8" s="265"/>
      <c r="D8" s="265"/>
      <c r="E8" s="265"/>
      <c r="F8" s="265"/>
      <c r="G8" s="3"/>
    </row>
    <row r="9" spans="1:7" ht="13.5" customHeight="1" x14ac:dyDescent="0.2">
      <c r="A9" s="261" t="s">
        <v>136</v>
      </c>
      <c r="B9" s="277"/>
      <c r="C9" s="277"/>
      <c r="D9" s="277"/>
      <c r="E9" s="277"/>
      <c r="F9" s="277"/>
      <c r="G9" s="3"/>
    </row>
    <row r="10" spans="1:7" s="141" customFormat="1" ht="13.5" customHeight="1" x14ac:dyDescent="0.2">
      <c r="A10" s="138" t="s">
        <v>104</v>
      </c>
      <c r="B10" s="139"/>
      <c r="C10" s="139"/>
      <c r="D10" s="139"/>
      <c r="E10" s="139"/>
      <c r="F10" s="139"/>
      <c r="G10" s="140"/>
    </row>
    <row r="11" spans="1:7" ht="13.5" customHeight="1" x14ac:dyDescent="0.2">
      <c r="A11" s="265"/>
      <c r="B11" s="265"/>
      <c r="C11" s="265"/>
      <c r="D11" s="265"/>
      <c r="E11" s="265"/>
      <c r="F11" s="265"/>
      <c r="G11" s="3"/>
    </row>
    <row r="12" spans="1:7" ht="13.5" customHeight="1" x14ac:dyDescent="0.2">
      <c r="A12" s="268" t="s">
        <v>137</v>
      </c>
      <c r="B12" s="265"/>
      <c r="C12" s="265"/>
      <c r="D12" s="265"/>
      <c r="E12" s="265"/>
      <c r="F12" s="265"/>
      <c r="G12" s="3"/>
    </row>
    <row r="13" spans="1:7" ht="13.5" customHeight="1" x14ac:dyDescent="0.2">
      <c r="A13" s="268" t="s">
        <v>138</v>
      </c>
      <c r="B13" s="265"/>
      <c r="C13" s="265"/>
      <c r="D13" s="265"/>
      <c r="E13" s="265"/>
      <c r="F13" s="265"/>
      <c r="G13" s="3"/>
    </row>
    <row r="14" spans="1:7" ht="13.5" customHeight="1" x14ac:dyDescent="0.2">
      <c r="A14" s="268" t="s">
        <v>78</v>
      </c>
      <c r="B14" s="265"/>
      <c r="C14" s="265"/>
      <c r="D14" s="265"/>
      <c r="E14" s="265"/>
      <c r="F14" s="265"/>
      <c r="G14" s="3"/>
    </row>
    <row r="15" spans="1:7" ht="13.5" customHeight="1" x14ac:dyDescent="0.2">
      <c r="A15" s="268" t="s">
        <v>139</v>
      </c>
      <c r="B15" s="265"/>
      <c r="C15" s="265"/>
      <c r="D15" s="265"/>
      <c r="E15" s="265"/>
      <c r="F15" s="265"/>
      <c r="G15" s="3"/>
    </row>
    <row r="16" spans="1:7" ht="13.5" customHeight="1" x14ac:dyDescent="0.2">
      <c r="A16" s="268" t="s">
        <v>94</v>
      </c>
      <c r="B16" s="265"/>
      <c r="C16" s="265"/>
      <c r="D16" s="265"/>
      <c r="E16" s="265"/>
      <c r="F16" s="265"/>
      <c r="G16" s="3"/>
    </row>
    <row r="17" spans="1:8" ht="13.5" customHeight="1" x14ac:dyDescent="0.2">
      <c r="A17" s="268" t="s">
        <v>140</v>
      </c>
      <c r="B17" s="265"/>
      <c r="C17" s="265"/>
      <c r="D17" s="265"/>
      <c r="E17" s="265"/>
      <c r="F17" s="265"/>
      <c r="G17" s="3"/>
    </row>
    <row r="18" spans="1:8" ht="13.5" customHeight="1" x14ac:dyDescent="0.2">
      <c r="A18" s="268" t="s">
        <v>141</v>
      </c>
      <c r="B18" s="265"/>
      <c r="C18" s="265"/>
      <c r="D18" s="265"/>
      <c r="E18" s="265"/>
      <c r="F18" s="265"/>
      <c r="G18" s="3"/>
    </row>
    <row r="19" spans="1:8" ht="13.5" customHeight="1" x14ac:dyDescent="0.2">
      <c r="A19" s="3"/>
      <c r="B19" s="3"/>
      <c r="C19" s="3"/>
      <c r="D19" s="3"/>
      <c r="E19" s="3"/>
      <c r="F19" s="3"/>
      <c r="G19" s="3"/>
    </row>
    <row r="20" spans="1:8" ht="13.5" customHeight="1" x14ac:dyDescent="0.2">
      <c r="A20" s="3"/>
      <c r="B20" s="262" t="s">
        <v>186</v>
      </c>
      <c r="C20" s="262"/>
      <c r="D20" s="152"/>
      <c r="E20" s="262" t="s">
        <v>172</v>
      </c>
      <c r="F20" s="262"/>
      <c r="G20" s="3"/>
    </row>
    <row r="21" spans="1:8" ht="12.75" x14ac:dyDescent="0.2">
      <c r="A21" s="3"/>
      <c r="B21" s="100">
        <v>2020</v>
      </c>
      <c r="C21" s="149">
        <v>2019</v>
      </c>
      <c r="D21" s="28"/>
      <c r="E21" s="206">
        <v>2020</v>
      </c>
      <c r="F21" s="149">
        <v>2019</v>
      </c>
      <c r="G21" s="16"/>
      <c r="H21" s="150"/>
    </row>
    <row r="22" spans="1:8" ht="13.5" customHeight="1" x14ac:dyDescent="0.2">
      <c r="A22" s="3"/>
      <c r="B22" s="263" t="s">
        <v>2</v>
      </c>
      <c r="C22" s="263"/>
      <c r="D22" s="220"/>
      <c r="E22" s="263" t="s">
        <v>2</v>
      </c>
      <c r="F22" s="263"/>
      <c r="G22" s="96"/>
      <c r="H22" s="96"/>
    </row>
    <row r="23" spans="1:8" ht="13.5" customHeight="1" x14ac:dyDescent="0.2">
      <c r="A23" s="8" t="s">
        <v>176</v>
      </c>
      <c r="B23" s="98">
        <f>'Income Statement'!B42</f>
        <v>-25299</v>
      </c>
      <c r="C23" s="98">
        <f>'Income Statement'!C42</f>
        <v>72741</v>
      </c>
      <c r="D23" s="101"/>
      <c r="E23" s="98">
        <f>'Income Statement'!E42</f>
        <v>0</v>
      </c>
      <c r="F23" s="98">
        <f>'Income Statement'!F42</f>
        <v>0</v>
      </c>
      <c r="G23" s="3"/>
    </row>
    <row r="24" spans="1:8" ht="13.5" customHeight="1" x14ac:dyDescent="0.2">
      <c r="A24" s="7" t="s">
        <v>159</v>
      </c>
      <c r="B24" s="80">
        <f>'Income Statement'!B40</f>
        <v>-1791</v>
      </c>
      <c r="C24" s="80">
        <f>'Income Statement'!C40</f>
        <v>70</v>
      </c>
      <c r="D24" s="94"/>
      <c r="E24" s="80">
        <f>'Income Statement'!E40</f>
        <v>0</v>
      </c>
      <c r="F24" s="80">
        <f>'Income Statement'!F40</f>
        <v>0</v>
      </c>
      <c r="G24" s="3"/>
    </row>
    <row r="25" spans="1:8" ht="13.5" customHeight="1" x14ac:dyDescent="0.2">
      <c r="A25" s="7" t="s">
        <v>8</v>
      </c>
      <c r="B25" s="80">
        <f>-'Income Statement'!B30</f>
        <v>2129</v>
      </c>
      <c r="C25" s="80">
        <f>-'Income Statement'!C30</f>
        <v>2289</v>
      </c>
      <c r="D25" s="80"/>
      <c r="E25" s="80">
        <f>-'Income Statement'!E30</f>
        <v>0</v>
      </c>
      <c r="F25" s="80">
        <f>-'Income Statement'!F30</f>
        <v>0</v>
      </c>
      <c r="G25" s="3"/>
    </row>
    <row r="26" spans="1:8" ht="13.5" customHeight="1" x14ac:dyDescent="0.2">
      <c r="A26" s="7" t="s">
        <v>5</v>
      </c>
      <c r="B26" s="80">
        <f>'Income Statement'!B14</f>
        <v>31308</v>
      </c>
      <c r="C26" s="80">
        <f>'Income Statement'!C14</f>
        <v>25273</v>
      </c>
      <c r="D26" s="94"/>
      <c r="E26" s="80">
        <f>'Income Statement'!E14</f>
        <v>0</v>
      </c>
      <c r="F26" s="80">
        <f>'Income Statement'!F14</f>
        <v>0</v>
      </c>
      <c r="G26" s="3"/>
    </row>
    <row r="27" spans="1:8" s="86" customFormat="1" ht="13.5" customHeight="1" x14ac:dyDescent="0.2">
      <c r="A27" s="7" t="s">
        <v>75</v>
      </c>
      <c r="B27" s="80">
        <f>'Income Statement'!B15</f>
        <v>5006</v>
      </c>
      <c r="C27" s="80">
        <f>'Income Statement'!C15</f>
        <v>5137</v>
      </c>
      <c r="D27" s="94"/>
      <c r="E27" s="80">
        <f>'Income Statement'!E15</f>
        <v>0</v>
      </c>
      <c r="F27" s="80">
        <f>'Income Statement'!F15</f>
        <v>0</v>
      </c>
      <c r="G27" s="76"/>
    </row>
    <row r="28" spans="1:8" ht="13.5" customHeight="1" x14ac:dyDescent="0.2">
      <c r="A28" s="7" t="s">
        <v>77</v>
      </c>
      <c r="B28" s="80">
        <f>'Income Statement'!B16</f>
        <v>0</v>
      </c>
      <c r="C28" s="80">
        <f>'Income Statement'!C16</f>
        <v>65</v>
      </c>
      <c r="D28" s="94"/>
      <c r="E28" s="80">
        <f>'Income Statement'!E16</f>
        <v>0</v>
      </c>
      <c r="F28" s="80">
        <f>'Income Statement'!F16</f>
        <v>0</v>
      </c>
      <c r="G28" s="3"/>
    </row>
    <row r="29" spans="1:8" s="225" customFormat="1" ht="13.5" customHeight="1" x14ac:dyDescent="0.2">
      <c r="A29" s="7" t="s">
        <v>162</v>
      </c>
      <c r="B29" s="80">
        <f>'Income Statement'!B19</f>
        <v>3664</v>
      </c>
      <c r="C29" s="80">
        <f>'Income Statement'!C19</f>
        <v>0</v>
      </c>
      <c r="D29" s="94"/>
      <c r="E29" s="80">
        <f>'Income Statement'!E19</f>
        <v>0</v>
      </c>
      <c r="F29" s="80">
        <f>'Income Statement'!F19</f>
        <v>0</v>
      </c>
      <c r="G29" s="224"/>
    </row>
    <row r="30" spans="1:8" s="248" customFormat="1" ht="13.5" customHeight="1" x14ac:dyDescent="0.2">
      <c r="A30" s="7" t="s">
        <v>193</v>
      </c>
      <c r="B30" s="80">
        <f>'Income Statement'!B20</f>
        <v>5828</v>
      </c>
      <c r="C30" s="80">
        <f>'Income Statement'!C20</f>
        <v>0</v>
      </c>
      <c r="D30" s="94"/>
      <c r="E30" s="80">
        <f>'Income Statement'!E20</f>
        <v>0</v>
      </c>
      <c r="F30" s="80">
        <f>'Income Statement'!F20</f>
        <v>0</v>
      </c>
      <c r="G30" s="247"/>
    </row>
    <row r="31" spans="1:8" s="225" customFormat="1" ht="13.5" customHeight="1" x14ac:dyDescent="0.2">
      <c r="A31" s="7" t="s">
        <v>200</v>
      </c>
      <c r="B31" s="80">
        <f>'Income Statement'!B21</f>
        <v>-9000</v>
      </c>
      <c r="C31" s="80">
        <f>'Income Statement'!C21</f>
        <v>0</v>
      </c>
      <c r="D31" s="94"/>
      <c r="E31" s="80" t="e">
        <f>'Income Statement'!#REF!</f>
        <v>#REF!</v>
      </c>
      <c r="F31" s="80" t="e">
        <f>'Income Statement'!#REF!</f>
        <v>#REF!</v>
      </c>
      <c r="G31" s="224"/>
    </row>
    <row r="32" spans="1:8" s="194" customFormat="1" ht="13.5" customHeight="1" x14ac:dyDescent="0.2">
      <c r="A32" s="7" t="s">
        <v>131</v>
      </c>
      <c r="B32" s="80">
        <f>-'Income Statement'!B35</f>
        <v>1096</v>
      </c>
      <c r="C32" s="80">
        <f>-'Income Statement'!C35</f>
        <v>1766</v>
      </c>
      <c r="D32" s="94"/>
      <c r="E32" s="80">
        <f>-'Income Statement'!E35</f>
        <v>0</v>
      </c>
      <c r="F32" s="80">
        <f>-'Income Statement'!F35</f>
        <v>0</v>
      </c>
      <c r="G32" s="193"/>
    </row>
    <row r="33" spans="1:10" s="72" customFormat="1" ht="13.5" customHeight="1" x14ac:dyDescent="0.2">
      <c r="A33" s="7" t="s">
        <v>69</v>
      </c>
      <c r="B33" s="59">
        <f>-'Income Statement'!B36</f>
        <v>-26</v>
      </c>
      <c r="C33" s="59">
        <f>-'Income Statement'!C36</f>
        <v>-87</v>
      </c>
      <c r="D33" s="94"/>
      <c r="E33" s="59">
        <f>-'Income Statement'!E36</f>
        <v>0</v>
      </c>
      <c r="F33" s="59">
        <f>-'Income Statement'!F36</f>
        <v>0</v>
      </c>
      <c r="G33" s="71"/>
    </row>
    <row r="34" spans="1:10" ht="13.5" customHeight="1" x14ac:dyDescent="0.2">
      <c r="A34" s="7"/>
      <c r="B34" s="146"/>
      <c r="C34" s="82"/>
      <c r="D34" s="83"/>
      <c r="E34" s="146"/>
      <c r="F34" s="82"/>
      <c r="G34" s="3"/>
    </row>
    <row r="35" spans="1:10" ht="13.5" customHeight="1" x14ac:dyDescent="0.2">
      <c r="A35" s="8" t="s">
        <v>133</v>
      </c>
      <c r="B35" s="98">
        <f>SUM(B23:B34)</f>
        <v>12915</v>
      </c>
      <c r="C35" s="98">
        <f>SUM(C23:C34)</f>
        <v>107254</v>
      </c>
      <c r="D35" s="101"/>
      <c r="E35" s="98" t="e">
        <f>SUM(E23:E34)</f>
        <v>#REF!</v>
      </c>
      <c r="F35" s="98" t="e">
        <f>SUM(F23:F34)</f>
        <v>#REF!</v>
      </c>
      <c r="G35" s="9"/>
    </row>
    <row r="36" spans="1:10" ht="13.5" customHeight="1" x14ac:dyDescent="0.2">
      <c r="A36" s="238" t="s">
        <v>168</v>
      </c>
      <c r="B36" s="56">
        <v>5099</v>
      </c>
      <c r="C36" s="56">
        <v>-906</v>
      </c>
      <c r="D36" s="94"/>
      <c r="E36" s="94">
        <v>12926</v>
      </c>
      <c r="F36" s="94">
        <v>2492</v>
      </c>
      <c r="G36" s="3"/>
      <c r="H36" s="32"/>
    </row>
    <row r="37" spans="1:10" ht="13.5" customHeight="1" x14ac:dyDescent="0.2">
      <c r="A37" s="237" t="s">
        <v>7</v>
      </c>
      <c r="B37" s="57">
        <f>'Income Statement'!B18</f>
        <v>22745</v>
      </c>
      <c r="C37" s="57">
        <f>'Income Statement'!C18</f>
        <v>24089</v>
      </c>
      <c r="D37" s="57"/>
      <c r="E37" s="57">
        <f>'Income Statement'!E18</f>
        <v>0</v>
      </c>
      <c r="F37" s="57">
        <f>'Income Statement'!F18</f>
        <v>0</v>
      </c>
    </row>
    <row r="38" spans="1:10" ht="13.5" customHeight="1" x14ac:dyDescent="0.2">
      <c r="A38" s="237" t="s">
        <v>46</v>
      </c>
      <c r="B38" s="59">
        <f>59</f>
        <v>59</v>
      </c>
      <c r="C38" s="59">
        <v>-12201</v>
      </c>
      <c r="D38" s="57"/>
      <c r="E38" s="59">
        <v>-14488</v>
      </c>
      <c r="F38" s="59">
        <v>4099</v>
      </c>
      <c r="G38" s="32"/>
    </row>
    <row r="39" spans="1:10" ht="13.5" customHeight="1" x14ac:dyDescent="0.2">
      <c r="A39" s="235"/>
      <c r="B39" s="235"/>
      <c r="C39" s="235"/>
      <c r="D39" s="235"/>
      <c r="E39" s="235"/>
      <c r="F39" s="235"/>
    </row>
    <row r="40" spans="1:10" ht="13.5" customHeight="1" thickBot="1" x14ac:dyDescent="0.25">
      <c r="A40" s="235" t="s">
        <v>169</v>
      </c>
      <c r="B40" s="236">
        <f>SUM(B35:B38)</f>
        <v>40818</v>
      </c>
      <c r="C40" s="236">
        <f>SUM(C35:C38)</f>
        <v>118236</v>
      </c>
      <c r="D40" s="235"/>
      <c r="E40" s="236" t="e">
        <f>SUM(E35:E38)</f>
        <v>#REF!</v>
      </c>
      <c r="F40" s="236" t="e">
        <f>SUM(F35:F38)</f>
        <v>#REF!</v>
      </c>
    </row>
    <row r="41" spans="1:10" ht="13.5" customHeight="1" thickTop="1" x14ac:dyDescent="0.2">
      <c r="A41" s="235"/>
      <c r="B41" s="235"/>
      <c r="C41" s="235"/>
      <c r="D41" s="235"/>
      <c r="E41" s="235"/>
      <c r="F41" s="235"/>
    </row>
    <row r="42" spans="1:10" ht="13.5" customHeight="1" x14ac:dyDescent="0.2">
      <c r="A42" s="237" t="s">
        <v>170</v>
      </c>
      <c r="B42" s="237"/>
      <c r="C42" s="237"/>
      <c r="D42" s="237"/>
      <c r="E42" s="237"/>
      <c r="F42" s="237"/>
      <c r="J42" s="252"/>
    </row>
    <row r="43" spans="1:10" ht="13.5" customHeight="1" x14ac:dyDescent="0.2">
      <c r="A43" s="45" t="s">
        <v>81</v>
      </c>
      <c r="B43" s="55">
        <v>-582</v>
      </c>
      <c r="C43" s="55">
        <v>20583</v>
      </c>
      <c r="D43" s="55"/>
      <c r="E43" s="55">
        <v>110528</v>
      </c>
      <c r="F43" s="55">
        <v>126525</v>
      </c>
      <c r="H43" s="217"/>
      <c r="J43" s="252"/>
    </row>
    <row r="44" spans="1:10" ht="13.5" customHeight="1" x14ac:dyDescent="0.2">
      <c r="A44" s="45" t="s">
        <v>86</v>
      </c>
      <c r="B44" s="57">
        <f>51720-9000</f>
        <v>42720</v>
      </c>
      <c r="C44" s="57">
        <v>91534</v>
      </c>
      <c r="D44" s="57"/>
      <c r="E44" s="57">
        <v>305363</v>
      </c>
      <c r="F44" s="57">
        <v>349524</v>
      </c>
      <c r="H44" s="32"/>
      <c r="J44" s="252"/>
    </row>
    <row r="45" spans="1:10" ht="13.5" customHeight="1" x14ac:dyDescent="0.2">
      <c r="A45" s="45" t="s">
        <v>87</v>
      </c>
      <c r="B45" s="59">
        <v>-1320</v>
      </c>
      <c r="C45" s="59">
        <v>6119</v>
      </c>
      <c r="D45" s="57"/>
      <c r="E45" s="59">
        <v>41495</v>
      </c>
      <c r="F45" s="59">
        <v>68620</v>
      </c>
      <c r="H45" s="32"/>
    </row>
    <row r="46" spans="1:10" ht="13.5" customHeight="1" x14ac:dyDescent="0.2">
      <c r="A46" s="35"/>
      <c r="B46" s="57"/>
      <c r="C46" s="57"/>
      <c r="D46" s="57"/>
      <c r="E46" s="57"/>
      <c r="F46" s="57"/>
    </row>
    <row r="47" spans="1:10" ht="13.5" customHeight="1" thickBot="1" x14ac:dyDescent="0.25">
      <c r="A47" s="237" t="s">
        <v>171</v>
      </c>
      <c r="B47" s="223">
        <f>SUM(B43:B46)</f>
        <v>40818</v>
      </c>
      <c r="C47" s="223">
        <f>SUM(C43:C46)</f>
        <v>118236</v>
      </c>
      <c r="D47" s="246"/>
      <c r="E47" s="223">
        <f>SUM(E43:E46)</f>
        <v>457386</v>
      </c>
      <c r="F47" s="223">
        <f>SUM(F43:F46)</f>
        <v>544669</v>
      </c>
    </row>
    <row r="48" spans="1:10" ht="13.5" customHeight="1" thickTop="1" x14ac:dyDescent="0.2"/>
    <row r="49" spans="5:5" ht="13.5" customHeight="1" x14ac:dyDescent="0.2">
      <c r="E49" s="217"/>
    </row>
    <row r="50" spans="5:5" ht="13.5" customHeight="1" x14ac:dyDescent="0.2">
      <c r="E50" s="217"/>
    </row>
    <row r="51" spans="5:5" ht="13.5" customHeight="1" x14ac:dyDescent="0.2">
      <c r="E51" s="217"/>
    </row>
  </sheetData>
  <mergeCells count="18">
    <mergeCell ref="A17:F17"/>
    <mergeCell ref="B20:C20"/>
    <mergeCell ref="E20:F20"/>
    <mergeCell ref="B22:C22"/>
    <mergeCell ref="A14:F14"/>
    <mergeCell ref="A15:F15"/>
    <mergeCell ref="A16:F16"/>
    <mergeCell ref="A18:F18"/>
    <mergeCell ref="E22:F22"/>
    <mergeCell ref="A1:F1"/>
    <mergeCell ref="A2:F2"/>
    <mergeCell ref="A3:F3"/>
    <mergeCell ref="A13:F13"/>
    <mergeCell ref="A7:F7"/>
    <mergeCell ref="A8:F8"/>
    <mergeCell ref="A9:F9"/>
    <mergeCell ref="A11:F11"/>
    <mergeCell ref="A12:F12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Income Statement</vt:lpstr>
      <vt:lpstr>Balance Sheet</vt:lpstr>
      <vt:lpstr>Statement of Cash Flows</vt:lpstr>
      <vt:lpstr>Debt Schedule</vt:lpstr>
      <vt:lpstr>Operational Performance</vt:lpstr>
      <vt:lpstr>NON-GAAP Sales</vt:lpstr>
      <vt:lpstr>NON-GAAP COGS</vt:lpstr>
      <vt:lpstr>Reconciliation page</vt:lpstr>
      <vt:lpstr>'NON-GAAP COGS'!OLE_LINK1</vt:lpstr>
      <vt:lpstr>'NON-GAAP Sales'!OLE_LINK1</vt:lpstr>
      <vt:lpstr>'Balance Sheet'!Print_Area</vt:lpstr>
      <vt:lpstr>'Income Statement'!Print_Area</vt:lpstr>
      <vt:lpstr>'Reconciliation page'!Print_Area</vt:lpstr>
      <vt:lpstr>'Statement of Cash Flows'!Print_Area</vt:lpstr>
      <vt:lpstr>'Reconciliation page'!Print_Titles</vt:lpstr>
    </vt:vector>
  </TitlesOfParts>
  <Company>Arch Coal,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Hillebrand, Jackie</dc:creator>
  <cp:lastModifiedBy>Slone, Deck</cp:lastModifiedBy>
  <cp:lastPrinted>2020-04-22T15:49:39Z</cp:lastPrinted>
  <dcterms:created xsi:type="dcterms:W3CDTF">2015-01-20T16:57:13Z</dcterms:created>
  <dcterms:modified xsi:type="dcterms:W3CDTF">2020-04-22T21:09:08Z</dcterms:modified>
</cp:coreProperties>
</file>