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Accounting\stlmacct\lorson\External Financial Reporting\2017\Q2-2017\"/>
    </mc:Choice>
  </mc:AlternateContent>
  <bookViews>
    <workbookView xWindow="240" yWindow="360" windowWidth="21075" windowHeight="9540"/>
  </bookViews>
  <sheets>
    <sheet name="Statements of Operations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Reconciliation page" sheetId="3" r:id="rId6"/>
    <sheet name="Sheet1" sheetId="6" r:id="rId7"/>
  </sheets>
  <externalReferences>
    <externalReference r:id="rId8"/>
  </externalReferences>
  <definedNames>
    <definedName name="_xlnm.Print_Area" localSheetId="5">'Reconciliation page'!$A$5:$F$69</definedName>
    <definedName name="_xlnm.Print_Area" localSheetId="0">'Statements of Operations'!$A$1:$F$54</definedName>
    <definedName name="_xlnm.Print_Titles" localSheetId="5">'Reconciliation page'!$1:$4</definedName>
  </definedNames>
  <calcPr calcId="162913"/>
</workbook>
</file>

<file path=xl/calcChain.xml><?xml version="1.0" encoding="utf-8"?>
<calcChain xmlns="http://schemas.openxmlformats.org/spreadsheetml/2006/main">
  <c r="B28" i="4" l="1"/>
  <c r="B43" i="2"/>
  <c r="B34" i="2"/>
  <c r="B27" i="2"/>
  <c r="B20" i="2"/>
  <c r="K55" i="8" l="1"/>
  <c r="H55" i="8"/>
  <c r="E55" i="8"/>
  <c r="B55" i="8"/>
  <c r="K54" i="8"/>
  <c r="H54" i="8"/>
  <c r="E54" i="8"/>
  <c r="B54" i="8"/>
  <c r="K51" i="8"/>
  <c r="H51" i="8"/>
  <c r="E51" i="8"/>
  <c r="B51" i="8"/>
  <c r="K43" i="8"/>
  <c r="H43" i="8"/>
  <c r="E43" i="8"/>
  <c r="B43" i="8"/>
  <c r="K42" i="8"/>
  <c r="H42" i="8"/>
  <c r="E42" i="8"/>
  <c r="B42" i="8"/>
  <c r="K41" i="8"/>
  <c r="K53" i="8" s="1"/>
  <c r="H41" i="8"/>
  <c r="H53" i="8" s="1"/>
  <c r="E41" i="8"/>
  <c r="E53" i="8" s="1"/>
  <c r="B41" i="8"/>
  <c r="B53" i="8" s="1"/>
  <c r="K39" i="8"/>
  <c r="H39" i="8"/>
  <c r="E39" i="8"/>
  <c r="B39" i="8"/>
  <c r="K35" i="8"/>
  <c r="H35" i="8"/>
  <c r="E35" i="8"/>
  <c r="B35" i="8"/>
  <c r="K33" i="8"/>
  <c r="H33" i="8"/>
  <c r="E33" i="8"/>
  <c r="B33" i="8"/>
  <c r="K32" i="8"/>
  <c r="E32" i="8"/>
  <c r="K31" i="8"/>
  <c r="H31" i="8"/>
  <c r="E31" i="8"/>
  <c r="B31" i="8"/>
  <c r="K26" i="8"/>
  <c r="H26" i="8"/>
  <c r="E26" i="8"/>
  <c r="B26" i="8"/>
  <c r="K25" i="8"/>
  <c r="K27" i="8" s="1"/>
  <c r="H25" i="8"/>
  <c r="E25" i="8"/>
  <c r="B25" i="8"/>
  <c r="K23" i="8"/>
  <c r="H23" i="8"/>
  <c r="E23" i="8"/>
  <c r="B23" i="8"/>
  <c r="K19" i="8"/>
  <c r="H19" i="8"/>
  <c r="E19" i="8"/>
  <c r="B19" i="8"/>
  <c r="K18" i="8"/>
  <c r="H18" i="8"/>
  <c r="E18" i="8"/>
  <c r="E20" i="8" s="1"/>
  <c r="B18" i="8"/>
  <c r="K16" i="8"/>
  <c r="H16" i="8"/>
  <c r="E16" i="8"/>
  <c r="B16" i="8"/>
  <c r="K12" i="8"/>
  <c r="K52" i="8" s="1"/>
  <c r="K56" i="8" s="1"/>
  <c r="H12" i="8"/>
  <c r="E12" i="8"/>
  <c r="E52" i="8" s="1"/>
  <c r="B12" i="8"/>
  <c r="K11" i="8"/>
  <c r="K40" i="8" s="1"/>
  <c r="K44" i="8" s="1"/>
  <c r="H11" i="8"/>
  <c r="E11" i="8"/>
  <c r="E13" i="8" s="1"/>
  <c r="B11" i="8"/>
  <c r="K9" i="8"/>
  <c r="H9" i="8"/>
  <c r="E9" i="8"/>
  <c r="B9" i="8"/>
  <c r="C26" i="8" l="1"/>
  <c r="I11" i="8"/>
  <c r="I13" i="8" s="1"/>
  <c r="I12" i="8"/>
  <c r="I18" i="8"/>
  <c r="I19" i="8"/>
  <c r="I25" i="8"/>
  <c r="I26" i="8"/>
  <c r="L18" i="8"/>
  <c r="L19" i="8"/>
  <c r="L26" i="8"/>
  <c r="C11" i="8"/>
  <c r="C13" i="8" s="1"/>
  <c r="C12" i="8"/>
  <c r="C18" i="8"/>
  <c r="C19" i="8"/>
  <c r="C25" i="8"/>
  <c r="F19" i="8"/>
  <c r="F25" i="8"/>
  <c r="F26" i="8"/>
  <c r="B40" i="8"/>
  <c r="B44" i="8" s="1"/>
  <c r="B52" i="8"/>
  <c r="E56" i="8"/>
  <c r="B56" i="8"/>
  <c r="K13" i="8"/>
  <c r="K29" i="8" s="1"/>
  <c r="K20" i="8"/>
  <c r="E27" i="8"/>
  <c r="E29" i="8" s="1"/>
  <c r="F11" i="8"/>
  <c r="L11" i="8"/>
  <c r="L13" i="8" s="1"/>
  <c r="F12" i="8"/>
  <c r="L12" i="8"/>
  <c r="F18" i="8"/>
  <c r="F20" i="8" s="1"/>
  <c r="L25" i="8"/>
  <c r="L27" i="8" s="1"/>
  <c r="E40" i="8"/>
  <c r="E44" i="8" s="1"/>
  <c r="B13" i="8"/>
  <c r="B20" i="8"/>
  <c r="H20" i="8"/>
  <c r="B27" i="8"/>
  <c r="H27" i="8"/>
  <c r="H40" i="8"/>
  <c r="H44" i="8" s="1"/>
  <c r="H52" i="8"/>
  <c r="H56" i="8" s="1"/>
  <c r="H13" i="8"/>
  <c r="C27" i="8" l="1"/>
  <c r="I27" i="8"/>
  <c r="B29" i="8"/>
  <c r="F27" i="8"/>
  <c r="C20" i="8"/>
  <c r="L20" i="8"/>
  <c r="I20" i="8"/>
  <c r="F13" i="8"/>
  <c r="H29" i="8"/>
  <c r="C67" i="3" l="1"/>
  <c r="F67" i="3"/>
  <c r="F68" i="3"/>
  <c r="C68" i="3"/>
  <c r="B29" i="4" l="1"/>
  <c r="B33" i="2" l="1"/>
  <c r="C11" i="5" l="1"/>
  <c r="B35" i="4"/>
  <c r="B18" i="4"/>
  <c r="E20" i="1" l="1"/>
  <c r="F59" i="3"/>
  <c r="E59" i="3"/>
  <c r="F47" i="3"/>
  <c r="E47" i="3"/>
  <c r="E46" i="3"/>
  <c r="F33" i="3"/>
  <c r="F54" i="3" s="1"/>
  <c r="E33" i="3"/>
  <c r="E54" i="3" s="1"/>
  <c r="F32" i="3"/>
  <c r="F53" i="3" s="1"/>
  <c r="E32" i="3"/>
  <c r="E53" i="3" s="1"/>
  <c r="F31" i="3"/>
  <c r="F52" i="3" s="1"/>
  <c r="E31" i="3"/>
  <c r="E52" i="3" s="1"/>
  <c r="F30" i="3"/>
  <c r="F51" i="3" s="1"/>
  <c r="E30" i="3"/>
  <c r="E51" i="3" s="1"/>
  <c r="F29" i="3"/>
  <c r="E29" i="3"/>
  <c r="F28" i="3"/>
  <c r="E28" i="3"/>
  <c r="F26" i="3"/>
  <c r="E26" i="3"/>
  <c r="B14" i="4"/>
  <c r="B13" i="4"/>
  <c r="B12" i="4"/>
  <c r="C14" i="4"/>
  <c r="C13" i="4"/>
  <c r="C12" i="4"/>
  <c r="E55" i="3" l="1"/>
  <c r="F55" i="3"/>
  <c r="F35" i="1"/>
  <c r="E35" i="1"/>
  <c r="F28" i="1"/>
  <c r="F27" i="3" s="1"/>
  <c r="E28" i="1"/>
  <c r="E27" i="3" s="1"/>
  <c r="F21" i="1"/>
  <c r="F23" i="1" s="1"/>
  <c r="E21" i="1"/>
  <c r="E23" i="1" s="1"/>
  <c r="F30" i="1" l="1"/>
  <c r="F37" i="1" s="1"/>
  <c r="F40" i="1" s="1"/>
  <c r="E30" i="1"/>
  <c r="E37" i="1" s="1"/>
  <c r="E40" i="1" s="1"/>
  <c r="B10" i="4" s="1"/>
  <c r="F44" i="1" l="1"/>
  <c r="C10" i="4"/>
  <c r="F25" i="3"/>
  <c r="E44" i="1"/>
  <c r="E61" i="3" s="1"/>
  <c r="E25" i="3"/>
  <c r="F43" i="1"/>
  <c r="F61" i="3" s="1"/>
  <c r="E43" i="1"/>
  <c r="F49" i="3" l="1"/>
  <c r="F57" i="3" s="1"/>
  <c r="F35" i="3"/>
  <c r="F52" i="1" s="1"/>
  <c r="E35" i="3"/>
  <c r="E52" i="1" s="1"/>
  <c r="E49" i="3"/>
  <c r="E57" i="3" s="1"/>
  <c r="E68" i="3" s="1"/>
  <c r="E67" i="3" s="1"/>
  <c r="B52" i="4" l="1"/>
  <c r="C52" i="4"/>
  <c r="C13" i="5" l="1"/>
  <c r="D13" i="5"/>
  <c r="C20" i="2" l="1"/>
  <c r="D21" i="5" l="1"/>
  <c r="D20" i="5"/>
  <c r="B59" i="3" l="1"/>
  <c r="E65" i="3" l="1"/>
  <c r="E66" i="3"/>
  <c r="E63" i="3"/>
  <c r="C29" i="3"/>
  <c r="B29" i="3"/>
  <c r="C40" i="4"/>
  <c r="E53" i="1" l="1"/>
  <c r="B40" i="4"/>
  <c r="D15" i="5" l="1"/>
  <c r="C15" i="5"/>
  <c r="D18" i="5" l="1"/>
  <c r="C18" i="5"/>
  <c r="C33" i="3" l="1"/>
  <c r="C54" i="3" s="1"/>
  <c r="B33" i="3"/>
  <c r="B54" i="3" s="1"/>
  <c r="B66" i="3" s="1"/>
  <c r="C35" i="1"/>
  <c r="B35" i="1"/>
  <c r="C32" i="3" l="1"/>
  <c r="C53" i="3" s="1"/>
  <c r="B32" i="3"/>
  <c r="B53" i="3" s="1"/>
  <c r="B65" i="3" s="1"/>
  <c r="B31" i="3" l="1"/>
  <c r="B52" i="3" s="1"/>
  <c r="C31" i="3"/>
  <c r="C52" i="3" s="1"/>
  <c r="C21" i="5" l="1"/>
  <c r="C20" i="5"/>
  <c r="D22" i="5" l="1"/>
  <c r="C22" i="5"/>
  <c r="C23" i="5" l="1"/>
  <c r="D23" i="5"/>
  <c r="C59" i="3"/>
  <c r="C30" i="3"/>
  <c r="C51" i="3" s="1"/>
  <c r="C55" i="3" s="1"/>
  <c r="C28" i="3"/>
  <c r="C26" i="3"/>
  <c r="B30" i="3"/>
  <c r="B28" i="3"/>
  <c r="B26" i="3"/>
  <c r="B47" i="3"/>
  <c r="C47" i="3"/>
  <c r="B46" i="3"/>
  <c r="F64" i="3" l="1"/>
  <c r="F66" i="3"/>
  <c r="F65" i="3"/>
  <c r="F63" i="3"/>
  <c r="C63" i="3"/>
  <c r="C66" i="3"/>
  <c r="C65" i="3"/>
  <c r="C64" i="3"/>
  <c r="B51" i="3"/>
  <c r="F53" i="1" l="1"/>
  <c r="B63" i="3"/>
  <c r="B55" i="3"/>
  <c r="C52" i="2"/>
  <c r="C36" i="2"/>
  <c r="C44" i="2" s="1"/>
  <c r="B36" i="2"/>
  <c r="B44" i="2" s="1"/>
  <c r="C28" i="2"/>
  <c r="B28" i="2"/>
  <c r="C21" i="2"/>
  <c r="B21" i="2"/>
  <c r="C28" i="1"/>
  <c r="C27" i="3" s="1"/>
  <c r="B28" i="1"/>
  <c r="B27" i="3" s="1"/>
  <c r="C21" i="1"/>
  <c r="C23" i="1" s="1"/>
  <c r="B21" i="1"/>
  <c r="C53" i="2" l="1"/>
  <c r="C30" i="1"/>
  <c r="C37" i="1" s="1"/>
  <c r="C40" i="1" s="1"/>
  <c r="B23" i="1"/>
  <c r="B30" i="1" s="1"/>
  <c r="B37" i="1" s="1"/>
  <c r="C29" i="2"/>
  <c r="B29" i="2"/>
  <c r="C44" i="1" l="1"/>
  <c r="C43" i="1"/>
  <c r="C61" i="3" s="1"/>
  <c r="C53" i="1" s="1"/>
  <c r="C30" i="4"/>
  <c r="C54" i="4" s="1"/>
  <c r="C25" i="3"/>
  <c r="C35" i="3" s="1"/>
  <c r="C52" i="1" s="1"/>
  <c r="C57" i="4" l="1"/>
  <c r="C49" i="3"/>
  <c r="C57" i="3" s="1"/>
  <c r="B40" i="1"/>
  <c r="B43" i="1" l="1"/>
  <c r="B44" i="1"/>
  <c r="B61" i="3" s="1"/>
  <c r="B52" i="2"/>
  <c r="B53" i="2" s="1"/>
  <c r="B25" i="3"/>
  <c r="B30" i="4" l="1"/>
  <c r="B54" i="4" s="1"/>
  <c r="B57" i="4" s="1"/>
  <c r="B49" i="3"/>
  <c r="B57" i="3" s="1"/>
  <c r="B68" i="3" s="1"/>
  <c r="B67" i="3" s="1"/>
  <c r="B35" i="3"/>
  <c r="B52" i="1" s="1"/>
  <c r="B53" i="1" l="1"/>
</calcChain>
</file>

<file path=xl/sharedStrings.xml><?xml version="1.0" encoding="utf-8"?>
<sst xmlns="http://schemas.openxmlformats.org/spreadsheetml/2006/main" count="300" uniqueCount="185">
  <si>
    <t>Arch Coal, Inc. and Subsidiaries</t>
  </si>
  <si>
    <t>Condensed Consolidated Statements of Operations</t>
  </si>
  <si>
    <t>(In thousands, except per share data)</t>
  </si>
  <si>
    <t/>
  </si>
  <si>
    <t>(Unaudited)</t>
  </si>
  <si>
    <t>Revenues</t>
  </si>
  <si>
    <t>Costs, expenses and other operating</t>
  </si>
  <si>
    <t>Cost of sales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</si>
  <si>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</si>
  <si>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</si>
  <si>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</si>
  <si>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</si>
  <si>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</si>
  <si>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</si>
  <si>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</si>
  <si>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</si>
  <si>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</si>
  <si>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</si>
  <si>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</si>
  <si>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</si>
  <si>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</si>
  <si>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</si>
  <si>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</si>
  <si>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</si>
  <si>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</si>
  <si>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</si>
  <si>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</si>
  <si>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</si>
  <si>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</si>
  <si>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</si>
  <si>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</si>
  <si>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</si>
  <si>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</si>
  <si>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</si>
  <si>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</si>
  <si>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</si>
  <si>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</si>
  <si>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</si>
  <si>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</si>
  <si>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</si>
  <si>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</si>
  <si>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</si>
  <si>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</si>
  <si>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</si>
  <si>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</si>
  <si>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</si>
  <si>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</si>
  <si>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</si>
  <si>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</si>
  <si>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The following reconciles these items to net income and cash flows as reported under GAAP.</t>
  </si>
  <si>
    <t>Income tax (benefit) expense</t>
  </si>
  <si>
    <t>Tax impact of adjustments</t>
  </si>
  <si>
    <t>Cash and cash equivalents, end of period</t>
  </si>
  <si>
    <t>Cash and cash equivalents, beginning of period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</si>
  <si>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</si>
  <si>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</si>
  <si>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</si>
  <si>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</si>
  <si>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</si>
  <si>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</si>
  <si>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</si>
  <si>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</si>
  <si>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</si>
  <si>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</si>
  <si>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</si>
  <si>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</si>
  <si>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</si>
  <si>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</si>
  <si>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Gains on disposals and divestitures</t>
  </si>
  <si>
    <t>Employee stock-based compensation expense</t>
  </si>
  <si>
    <t>Prepaid royalties expensed</t>
  </si>
  <si>
    <t>Adjustments to reconcile to cash provided by operating activities:</t>
  </si>
  <si>
    <t>Operating activities</t>
  </si>
  <si>
    <t>Condensed Consolidated Statements of Cash Flows</t>
  </si>
  <si>
    <t xml:space="preserve">December 31, </t>
  </si>
  <si>
    <t>Transportation costs billed to customers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</si>
  <si>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</si>
  <si>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</si>
  <si>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</si>
  <si>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</si>
  <si>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</si>
  <si>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</si>
  <si>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Tax impact of adjustment</t>
  </si>
  <si>
    <t>Asset impairment and mine closure costs</t>
  </si>
  <si>
    <t xml:space="preserve">Restricted cash </t>
  </si>
  <si>
    <t>Asset impairment and noncash mine closure costs</t>
  </si>
  <si>
    <t>Net loss resulting from early retirement of debt and debt restructuring</t>
  </si>
  <si>
    <t>Withdrawals (deposits) of restricted cash</t>
  </si>
  <si>
    <t>Reorganization items, net</t>
  </si>
  <si>
    <t>Debt issuance costs</t>
  </si>
  <si>
    <t>Total debt (excluding debt issuance costs)</t>
  </si>
  <si>
    <t>Non-cash bankruptcy reorganization items</t>
  </si>
  <si>
    <t>Adjusted EBITDAR</t>
  </si>
  <si>
    <t>Income (loss) from operations</t>
  </si>
  <si>
    <t>Provision for (benefit from) income taxes</t>
  </si>
  <si>
    <t>Predecessor</t>
  </si>
  <si>
    <t>Successor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</si>
  <si>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</si>
  <si>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</si>
  <si>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</si>
  <si>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</si>
  <si>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 xml:space="preserve">Adjusted EBITDAR is defined as net income attributable to the Company before the effect of net interest expense, income taxes, depreciation, </t>
  </si>
  <si>
    <t>Adjusted EBITDAR may also be adjusted for items that may not reflect the trend of future results.</t>
  </si>
  <si>
    <t>Income (loss) before income taxes</t>
  </si>
  <si>
    <t>(A) Adjusted EBITDAR and Adjusted diluted income per common share are defined and reconciled under "Reconciliation of Non-GAAP Measures" later in this release.</t>
  </si>
  <si>
    <t>Net income (loss)</t>
  </si>
  <si>
    <t>Cash provided by (used in) operating activities</t>
  </si>
  <si>
    <t>Increase (decrease) in cash and cash equivalents</t>
  </si>
  <si>
    <t>Adjusted net income (loss) and adjusted diluted income (loss) per share</t>
  </si>
  <si>
    <t>Adjusted net income (loss)</t>
  </si>
  <si>
    <t>Income (loss) before nonoperating expenses</t>
  </si>
  <si>
    <t>Basic weighted average shares outstanding</t>
  </si>
  <si>
    <t>Amortization of sales contracts, net</t>
  </si>
  <si>
    <t>Adjusted EBITDAR is not a measure of financial performance in accordance with generally accepted accounting principles, and items excluded</t>
  </si>
  <si>
    <t xml:space="preserve">from Adjusted EBITDAR are significant in understanding and assessing our financial condition. Therefore, Adjusted EBITDAR should not be </t>
  </si>
  <si>
    <t xml:space="preserve">considered in isolation, nor as an alternative to net income, income from operations, cash flows from operations or as a measure of our profitability, </t>
  </si>
  <si>
    <t>net income (loss) and adjusted diluted income (loss) per common share better reflect the trend of our future results by excluding items relating to</t>
  </si>
  <si>
    <t>significant transactions. The adjustments made to arrive at these measures are significant in understanding and assessing our financial condition.</t>
  </si>
  <si>
    <t xml:space="preserve">Therefore, adjusted net income (loss) and adjusted diluted income (loss) per share should not be considered in isolation, nor as an alternative to </t>
  </si>
  <si>
    <t>net income (loss) or diluted income (loss) per common share under generally accepted accounting principles.</t>
  </si>
  <si>
    <t xml:space="preserve">liquidity or performance under generally accepted accounting principles.  The Company uses adjusted EBITDAR to measure the operating </t>
  </si>
  <si>
    <t>Adjusted net income (loss) and adjusted diluted income (loss) per common share are adjusted for the after-tax impact of reorganization items, net</t>
  </si>
  <si>
    <t>and are not measures of financial performance in accordance with generally accepted accounting principles.  We believe that adjusted</t>
  </si>
  <si>
    <t>Adjusted EBITDAR (A) (Unaudited)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</si>
  <si>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</si>
  <si>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</si>
  <si>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</si>
  <si>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</si>
  <si>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</si>
  <si>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</si>
  <si>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</si>
  <si>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</si>
  <si>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</si>
  <si>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</si>
  <si>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>Liquidated damages under export logistics contracts</t>
  </si>
  <si>
    <t>Total segment sales</t>
  </si>
  <si>
    <t>Coal risk management derivative settlements</t>
  </si>
  <si>
    <t>Other (1)</t>
  </si>
  <si>
    <t xml:space="preserve">(1) Other includes coal sales associated with mines that have operated historically but have been idled or disposed of and are no </t>
  </si>
  <si>
    <t>longer part of a segment.</t>
  </si>
  <si>
    <t>Total segment cash cost of sales</t>
  </si>
  <si>
    <t>Risk management derivative settlements--diesel fuel</t>
  </si>
  <si>
    <t xml:space="preserve">(1) Other includes costs associated with mines that have operated historically but have been idled or disposed of and are no longer </t>
  </si>
  <si>
    <t>part of a segment and operating overhead.</t>
  </si>
  <si>
    <t>depletion and amortization, accretion on asset retirement obligations, amortization of sales contracts and reorganization items, net.</t>
  </si>
  <si>
    <t xml:space="preserve">Stockholders' equity </t>
  </si>
  <si>
    <t xml:space="preserve">Liabilities and Stockholders' Equity </t>
  </si>
  <si>
    <t>Net income (loss) per common share</t>
  </si>
  <si>
    <t>Adjusted diluted income (loss) per common share (A)</t>
  </si>
  <si>
    <t>Basic EPS (LPS)</t>
  </si>
  <si>
    <t>Diluted EPS (LPS)</t>
  </si>
  <si>
    <t>Income taxes, net</t>
  </si>
  <si>
    <t>Term loan due 2021 ($325.7 million face value)</t>
  </si>
  <si>
    <t>Other operating income, net</t>
  </si>
  <si>
    <t>Payments to extinguish term loan due 2021</t>
  </si>
  <si>
    <t>Proceeds from issuance of term loan due 2024</t>
  </si>
  <si>
    <t>Cash used in investing activities</t>
  </si>
  <si>
    <t>Cash used in financing activities</t>
  </si>
  <si>
    <t>Nonoperating expense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</si>
  <si>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</si>
  <si>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</si>
  <si>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</si>
  <si>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Diluted income (loss) per share </t>
  </si>
  <si>
    <t>Adjusted diluted income (loss) per share</t>
  </si>
  <si>
    <t xml:space="preserve">performance of its segments and allocate resources to the segments.  Furthermore, analogous measures are used by industry analysts and investors </t>
  </si>
  <si>
    <t>measures used by other companies. The table below shows how we calculate Adjusted EBITDAR.</t>
  </si>
  <si>
    <t>to evaluate our operating performance. Investors should be aware that our presentation of Adjusted EBITDAR may not be comparable to similarly titled</t>
  </si>
  <si>
    <t>Retained earnings</t>
  </si>
  <si>
    <t xml:space="preserve">June 30, </t>
  </si>
  <si>
    <t>Six Months Ended June 30, 2017</t>
  </si>
  <si>
    <t>Six Months Ended June 30, 2016</t>
  </si>
  <si>
    <t>Three Months Ended June 30, 2017</t>
  </si>
  <si>
    <t>Three Months Ended June 30, 2016</t>
  </si>
  <si>
    <t>Proceeds from (consideration paid for) disposals and divestitures</t>
  </si>
  <si>
    <t>Treasury stock, at cost</t>
  </si>
  <si>
    <t>Payments on term loan due 2024</t>
  </si>
  <si>
    <t>Purchases of treasury stock</t>
  </si>
  <si>
    <t>Weighted average shares outstanding</t>
  </si>
  <si>
    <t>Dividends declared per common share</t>
  </si>
  <si>
    <t>Cost of Sales</t>
  </si>
  <si>
    <t>Term loan due 2024 ($299.3 million face value)</t>
  </si>
  <si>
    <t>Six Months Ended              June 30, 2017</t>
  </si>
  <si>
    <t>Six Months Ended              June 30, 2016</t>
  </si>
  <si>
    <t>Three Months  Ended            June 30, 2017</t>
  </si>
  <si>
    <t>Three Months Ended              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</si>
</sst>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_(&quot;$&quot;* #,##0.00_)_%;_(&quot;$&quot;* \(#,##0.00\)_%;_(&quot;$&quot;* &quot;—&quot;_);_(@_)"/>
    <numFmt numFmtId="169" formatCode="_(&quot;$&quot;* #,##0_)_%;_(&quot;$&quot;* \(#,##0\)_%;_(&quot;$&quot;* &quot;—&quot;_);_(@_)"/>
    <numFmt numFmtId="170" formatCode="#,##0_)%;\(#,##0\)%;&quot;—&quot;\%;_(@_)"/>
    <numFmt numFmtId="171" formatCode="_(#,##0_)_%;_(\(#,##0\)_%;_(&quot;—&quot;_);_(@_)"/>
    <numFmt numFmtId="172" formatCode="_(#,##0.00_);_(\(#,##0.00\);_(&quot;—&quot;_);_(@_)"/>
    <numFmt numFmtId="173" formatCode="_(* #,##0.0_);_(* \(#,##0.0\);_(* &quot;-&quot;??_);_(@_)"/>
    <numFmt numFmtId="174" formatCode="_(&quot;$&quot;* #,##0.0_);_(&quot;$&quot;* \(#,##0.0\);_(&quot;$&quot;* &quot;-&quot;??_);_(@_)"/>
    <numFmt numFmtId="175" formatCode="#,##0.00;\(#,##0.00\)"/>
  </numFmts>
  <fonts count="23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75" fontId="18" fillId="0" borderId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5" fontId="21" fillId="0" borderId="0"/>
    <xf numFmtId="0" fontId="19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22" fillId="0" borderId="0"/>
  </cellStyleXfs>
  <cellXfs count="32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 indent="1"/>
    </xf>
    <xf numFmtId="167" fontId="6" fillId="0" borderId="0" xfId="0" applyNumberFormat="1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wrapText="1" indent="2"/>
    </xf>
    <xf numFmtId="0" fontId="6" fillId="0" borderId="0" xfId="0" applyFont="1" applyAlignment="1">
      <alignment wrapText="1"/>
    </xf>
    <xf numFmtId="167" fontId="6" fillId="0" borderId="0" xfId="0" applyNumberFormat="1" applyFont="1" applyAlignment="1">
      <alignment horizontal="left"/>
    </xf>
    <xf numFmtId="168" fontId="6" fillId="0" borderId="0" xfId="0" applyNumberFormat="1" applyFont="1" applyAlignment="1"/>
    <xf numFmtId="169" fontId="6" fillId="0" borderId="0" xfId="0" applyNumberFormat="1" applyFont="1" applyAlignme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171" fontId="6" fillId="0" borderId="0" xfId="0" applyNumberFormat="1" applyFont="1" applyAlignment="1"/>
    <xf numFmtId="171" fontId="6" fillId="0" borderId="0" xfId="0" applyNumberFormat="1" applyFont="1" applyAlignment="1">
      <alignment horizontal="left"/>
    </xf>
    <xf numFmtId="171" fontId="0" fillId="0" borderId="0" xfId="0" applyNumberFormat="1" applyAlignment="1">
      <alignment horizontal="left"/>
    </xf>
    <xf numFmtId="172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wrapText="1" indent="3"/>
    </xf>
    <xf numFmtId="167" fontId="6" fillId="0" borderId="0" xfId="0" applyNumberFormat="1" applyFont="1" applyFill="1" applyBorder="1" applyAlignment="1"/>
    <xf numFmtId="167" fontId="6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167" fontId="14" fillId="0" borderId="0" xfId="0" applyNumberFormat="1" applyFont="1" applyFill="1" applyAlignment="1"/>
    <xf numFmtId="0" fontId="0" fillId="0" borderId="0" xfId="0" applyFill="1" applyAlignment="1">
      <alignment wrapText="1"/>
    </xf>
    <xf numFmtId="167" fontId="14" fillId="0" borderId="1" xfId="0" applyNumberFormat="1" applyFont="1" applyFill="1" applyBorder="1" applyAlignment="1"/>
    <xf numFmtId="165" fontId="14" fillId="0" borderId="6" xfId="0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9" fillId="0" borderId="0" xfId="0" applyFont="1" applyFill="1" applyAlignment="1">
      <alignment wrapText="1"/>
    </xf>
    <xf numFmtId="164" fontId="6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wrapText="1" indent="1"/>
    </xf>
    <xf numFmtId="166" fontId="6" fillId="0" borderId="0" xfId="1" applyNumberFormat="1" applyFont="1" applyFill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6" fillId="0" borderId="2" xfId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 indent="2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166" fontId="6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wrapText="1" indent="2"/>
    </xf>
    <xf numFmtId="164" fontId="6" fillId="0" borderId="4" xfId="2" applyNumberFormat="1" applyFont="1" applyFill="1" applyBorder="1" applyAlignment="1">
      <alignment horizontal="right"/>
    </xf>
    <xf numFmtId="168" fontId="6" fillId="0" borderId="0" xfId="0" applyNumberFormat="1" applyFont="1" applyFill="1" applyAlignment="1">
      <alignment horizontal="right"/>
    </xf>
    <xf numFmtId="165" fontId="6" fillId="0" borderId="4" xfId="0" applyNumberFormat="1" applyFont="1" applyFill="1" applyBorder="1" applyAlignment="1"/>
    <xf numFmtId="0" fontId="6" fillId="0" borderId="0" xfId="0" applyFont="1" applyFill="1" applyAlignment="1">
      <alignment horizontal="left"/>
    </xf>
    <xf numFmtId="170" fontId="6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6" fillId="0" borderId="0" xfId="0" applyNumberFormat="1" applyFont="1" applyFill="1" applyAlignment="1"/>
    <xf numFmtId="164" fontId="6" fillId="0" borderId="0" xfId="2" applyNumberFormat="1" applyFont="1" applyFill="1" applyAlignment="1"/>
    <xf numFmtId="166" fontId="6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/>
    <xf numFmtId="167" fontId="6" fillId="0" borderId="1" xfId="0" applyNumberFormat="1" applyFont="1" applyFill="1" applyBorder="1" applyAlignment="1"/>
    <xf numFmtId="166" fontId="6" fillId="0" borderId="1" xfId="1" applyNumberFormat="1" applyFont="1" applyFill="1" applyBorder="1" applyAlignment="1"/>
    <xf numFmtId="164" fontId="6" fillId="0" borderId="4" xfId="2" applyNumberFormat="1" applyFont="1" applyFill="1" applyBorder="1" applyAlignment="1"/>
    <xf numFmtId="166" fontId="6" fillId="0" borderId="2" xfId="1" applyNumberFormat="1" applyFont="1" applyFill="1" applyBorder="1" applyAlignment="1"/>
    <xf numFmtId="167" fontId="6" fillId="0" borderId="3" xfId="0" applyNumberFormat="1" applyFont="1" applyFill="1" applyBorder="1" applyAlignment="1"/>
    <xf numFmtId="0" fontId="0" fillId="0" borderId="0" xfId="0" applyFill="1" applyAlignment="1"/>
    <xf numFmtId="44" fontId="6" fillId="0" borderId="0" xfId="2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5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43" fontId="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7" fontId="14" fillId="0" borderId="0" xfId="0" applyNumberFormat="1" applyFont="1" applyFill="1" applyBorder="1" applyAlignment="1"/>
    <xf numFmtId="166" fontId="6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43" fontId="3" fillId="0" borderId="0" xfId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6" fillId="0" borderId="0" xfId="1" applyNumberFormat="1" applyFont="1" applyFill="1" applyBorder="1" applyAlignment="1"/>
    <xf numFmtId="164" fontId="0" fillId="0" borderId="0" xfId="2" applyNumberFormat="1" applyFont="1" applyFill="1" applyAlignment="1">
      <alignment horizontal="left"/>
    </xf>
    <xf numFmtId="43" fontId="0" fillId="0" borderId="0" xfId="1" applyFont="1" applyFill="1" applyAlignment="1">
      <alignment wrapText="1"/>
    </xf>
    <xf numFmtId="166" fontId="0" fillId="0" borderId="0" xfId="1" applyNumberFormat="1" applyFont="1" applyFill="1" applyAlignment="1">
      <alignment horizontal="left"/>
    </xf>
    <xf numFmtId="166" fontId="0" fillId="0" borderId="0" xfId="1" applyNumberFormat="1" applyFont="1" applyFill="1" applyAlignment="1">
      <alignment wrapText="1"/>
    </xf>
    <xf numFmtId="44" fontId="0" fillId="0" borderId="0" xfId="2" applyFont="1" applyFill="1" applyAlignment="1">
      <alignment wrapText="1"/>
    </xf>
    <xf numFmtId="166" fontId="0" fillId="0" borderId="0" xfId="1" applyNumberFormat="1" applyFont="1" applyAlignment="1">
      <alignment wrapText="1"/>
    </xf>
    <xf numFmtId="167" fontId="6" fillId="0" borderId="0" xfId="0" applyNumberFormat="1" applyFont="1" applyFill="1" applyAlignment="1">
      <alignment horizontal="right"/>
    </xf>
    <xf numFmtId="171" fontId="6" fillId="0" borderId="0" xfId="0" applyNumberFormat="1" applyFont="1" applyFill="1" applyAlignment="1"/>
    <xf numFmtId="17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72" fontId="6" fillId="0" borderId="0" xfId="0" applyNumberFormat="1" applyFont="1" applyFill="1" applyAlignment="1">
      <alignment horizontal="left"/>
    </xf>
    <xf numFmtId="172" fontId="0" fillId="0" borderId="0" xfId="0" applyNumberFormat="1" applyFill="1" applyAlignment="1">
      <alignment horizontal="left"/>
    </xf>
    <xf numFmtId="172" fontId="6" fillId="0" borderId="0" xfId="0" applyNumberFormat="1" applyFont="1" applyFill="1" applyBorder="1" applyAlignment="1">
      <alignment horizontal="left"/>
    </xf>
    <xf numFmtId="172" fontId="0" fillId="0" borderId="0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44" fontId="6" fillId="0" borderId="4" xfId="2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>
      <alignment horizontal="center"/>
    </xf>
    <xf numFmtId="44" fontId="6" fillId="0" borderId="5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164" fontId="6" fillId="0" borderId="8" xfId="2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166" fontId="6" fillId="0" borderId="8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166" fontId="6" fillId="0" borderId="11" xfId="1" applyNumberFormat="1" applyFont="1" applyFill="1" applyBorder="1" applyAlignment="1">
      <alignment horizontal="right"/>
    </xf>
    <xf numFmtId="164" fontId="6" fillId="0" borderId="7" xfId="2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44" fontId="6" fillId="0" borderId="7" xfId="2" applyNumberFormat="1" applyFont="1" applyFill="1" applyBorder="1" applyAlignment="1">
      <alignment horizontal="right"/>
    </xf>
    <xf numFmtId="166" fontId="6" fillId="0" borderId="7" xfId="1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/>
    <xf numFmtId="44" fontId="6" fillId="0" borderId="12" xfId="0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9" fillId="0" borderId="0" xfId="0" quotePrefix="1" applyFont="1" applyAlignment="1">
      <alignment wrapText="1"/>
    </xf>
    <xf numFmtId="0" fontId="6" fillId="0" borderId="0" xfId="0" applyFont="1" applyAlignment="1"/>
    <xf numFmtId="0" fontId="11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6" fillId="0" borderId="8" xfId="0" applyNumberFormat="1" applyFont="1" applyFill="1" applyBorder="1" applyAlignment="1"/>
    <xf numFmtId="167" fontId="6" fillId="0" borderId="8" xfId="0" applyNumberFormat="1" applyFont="1" applyFill="1" applyBorder="1" applyAlignment="1"/>
    <xf numFmtId="167" fontId="6" fillId="0" borderId="9" xfId="0" applyNumberFormat="1" applyFont="1" applyFill="1" applyBorder="1" applyAlignment="1"/>
    <xf numFmtId="166" fontId="6" fillId="0" borderId="8" xfId="1" applyNumberFormat="1" applyFont="1" applyFill="1" applyBorder="1" applyAlignment="1"/>
    <xf numFmtId="166" fontId="6" fillId="0" borderId="9" xfId="1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0" fontId="8" fillId="0" borderId="13" xfId="0" applyFont="1" applyBorder="1" applyAlignment="1">
      <alignment horizontal="center" wrapText="1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6" fillId="0" borderId="8" xfId="0" applyFont="1" applyFill="1" applyBorder="1" applyAlignment="1">
      <alignment horizontal="left"/>
    </xf>
    <xf numFmtId="167" fontId="6" fillId="0" borderId="10" xfId="0" applyNumberFormat="1" applyFont="1" applyFill="1" applyBorder="1" applyAlignment="1"/>
    <xf numFmtId="167" fontId="6" fillId="0" borderId="8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44" fontId="6" fillId="0" borderId="0" xfId="2" applyNumberFormat="1" applyFont="1" applyFill="1" applyAlignment="1">
      <alignment horizontal="center"/>
    </xf>
    <xf numFmtId="44" fontId="0" fillId="0" borderId="0" xfId="2" applyNumberFormat="1" applyFont="1" applyFill="1" applyAlignment="1">
      <alignment horizontal="center" wrapText="1"/>
    </xf>
    <xf numFmtId="43" fontId="6" fillId="0" borderId="0" xfId="1" applyFont="1" applyFill="1" applyAlignment="1">
      <alignment horizontal="center"/>
    </xf>
    <xf numFmtId="0" fontId="0" fillId="0" borderId="8" xfId="0" applyFill="1" applyBorder="1" applyAlignment="1"/>
    <xf numFmtId="166" fontId="6" fillId="0" borderId="7" xfId="1" applyNumberFormat="1" applyFont="1" applyFill="1" applyBorder="1" applyAlignment="1"/>
    <xf numFmtId="44" fontId="6" fillId="0" borderId="8" xfId="2" applyNumberFormat="1" applyFont="1" applyFill="1" applyBorder="1" applyAlignment="1">
      <alignment horizontal="left"/>
    </xf>
    <xf numFmtId="43" fontId="6" fillId="0" borderId="8" xfId="1" applyFont="1" applyFill="1" applyBorder="1" applyAlignment="1"/>
    <xf numFmtId="44" fontId="6" fillId="0" borderId="14" xfId="2" applyFont="1" applyFill="1" applyBorder="1" applyAlignment="1"/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44" fontId="6" fillId="0" borderId="7" xfId="2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left"/>
    </xf>
    <xf numFmtId="44" fontId="6" fillId="0" borderId="6" xfId="2" applyFont="1" applyFill="1" applyBorder="1" applyAlignment="1">
      <alignment horizontal="center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6" fillId="0" borderId="0" xfId="0" applyFont="1" applyFill="1" applyAlignment="1">
      <alignment horizontal="left" wrapText="1" indent="2"/>
    </xf>
    <xf numFmtId="0" fontId="8" fillId="0" borderId="0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164" fontId="6" fillId="0" borderId="0" xfId="2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/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Fill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171" fontId="6" fillId="0" borderId="8" xfId="0" applyNumberFormat="1" applyFont="1" applyFill="1" applyBorder="1" applyAlignment="1"/>
    <xf numFmtId="164" fontId="14" fillId="0" borderId="0" xfId="2" applyNumberFormat="1" applyFont="1" applyFill="1" applyAlignment="1">
      <alignment horizontal="left"/>
    </xf>
    <xf numFmtId="44" fontId="6" fillId="0" borderId="8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 wrapText="1"/>
    </xf>
    <xf numFmtId="165" fontId="6" fillId="0" borderId="0" xfId="0" applyNumberFormat="1" applyFont="1" applyFill="1" applyBorder="1" applyAlignment="1"/>
    <xf numFmtId="166" fontId="6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14" fillId="0" borderId="0" xfId="1" applyNumberFormat="1" applyFont="1" applyFill="1" applyBorder="1" applyAlignment="1">
      <alignment horizontal="left"/>
    </xf>
    <xf numFmtId="166" fontId="14" fillId="0" borderId="0" xfId="1" applyNumberFormat="1" applyFont="1" applyFill="1" applyAlignment="1">
      <alignment horizontal="left"/>
    </xf>
    <xf numFmtId="166" fontId="6" fillId="0" borderId="0" xfId="24" applyNumberFormat="1" applyFont="1" applyFill="1" applyBorder="1" applyAlignment="1"/>
    <xf numFmtId="174" fontId="6" fillId="0" borderId="0" xfId="25" applyNumberFormat="1" applyFont="1" applyFill="1" applyBorder="1" applyAlignment="1"/>
    <xf numFmtId="173" fontId="6" fillId="0" borderId="0" xfId="24" applyNumberFormat="1" applyFont="1" applyAlignment="1">
      <alignment horizontal="left"/>
    </xf>
    <xf numFmtId="173" fontId="6" fillId="0" borderId="1" xfId="24" applyNumberFormat="1" applyFont="1" applyBorder="1" applyAlignment="1">
      <alignment horizontal="left"/>
    </xf>
    <xf numFmtId="166" fontId="6" fillId="0" borderId="0" xfId="24" applyNumberFormat="1" applyFont="1" applyFill="1" applyAlignment="1"/>
    <xf numFmtId="173" fontId="6" fillId="0" borderId="0" xfId="24" applyNumberFormat="1" applyFont="1" applyFill="1" applyAlignment="1"/>
    <xf numFmtId="174" fontId="6" fillId="0" borderId="0" xfId="25" applyNumberFormat="1" applyFont="1" applyFill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173" fontId="17" fillId="0" borderId="1" xfId="24" applyNumberFormat="1" applyFont="1" applyBorder="1"/>
    <xf numFmtId="173" fontId="17" fillId="0" borderId="0" xfId="24" applyNumberFormat="1" applyFont="1"/>
    <xf numFmtId="173" fontId="6" fillId="0" borderId="0" xfId="24" applyNumberFormat="1" applyFont="1" applyAlignment="1">
      <alignment wrapText="1"/>
    </xf>
    <xf numFmtId="173" fontId="6" fillId="0" borderId="1" xfId="24" applyNumberFormat="1" applyFont="1" applyBorder="1" applyAlignment="1">
      <alignment wrapText="1"/>
    </xf>
    <xf numFmtId="166" fontId="6" fillId="0" borderId="15" xfId="1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6" fillId="0" borderId="4" xfId="2" applyFont="1" applyFill="1" applyBorder="1" applyAlignment="1">
      <alignment horizontal="right"/>
    </xf>
    <xf numFmtId="43" fontId="6" fillId="0" borderId="0" xfId="1" applyFont="1" applyAlignment="1">
      <alignment wrapText="1"/>
    </xf>
    <xf numFmtId="0" fontId="6" fillId="0" borderId="0" xfId="30" applyFont="1" applyAlignment="1">
      <alignment horizontal="left"/>
    </xf>
    <xf numFmtId="0" fontId="3" fillId="0" borderId="0" xfId="30"/>
    <xf numFmtId="0" fontId="22" fillId="0" borderId="0" xfId="31"/>
    <xf numFmtId="0" fontId="3" fillId="0" borderId="0" xfId="30" applyBorder="1" applyAlignment="1">
      <alignment wrapText="1"/>
    </xf>
    <xf numFmtId="0" fontId="8" fillId="0" borderId="3" xfId="30" applyFont="1" applyBorder="1" applyAlignment="1">
      <alignment horizontal="center" wrapText="1"/>
    </xf>
    <xf numFmtId="0" fontId="8" fillId="0" borderId="10" xfId="30" applyFont="1" applyBorder="1" applyAlignment="1">
      <alignment horizontal="center" wrapText="1"/>
    </xf>
    <xf numFmtId="0" fontId="3" fillId="0" borderId="0" xfId="30" applyFont="1" applyFill="1" applyBorder="1" applyAlignment="1"/>
    <xf numFmtId="0" fontId="3" fillId="0" borderId="0" xfId="30" applyFill="1" applyAlignment="1"/>
    <xf numFmtId="0" fontId="6" fillId="0" borderId="0" xfId="30" applyFont="1" applyAlignment="1">
      <alignment wrapText="1"/>
    </xf>
    <xf numFmtId="164" fontId="6" fillId="0" borderId="0" xfId="25" applyNumberFormat="1" applyFont="1" applyFill="1" applyBorder="1" applyAlignment="1"/>
    <xf numFmtId="164" fontId="6" fillId="0" borderId="8" xfId="25" applyNumberFormat="1" applyFont="1" applyFill="1" applyBorder="1" applyAlignment="1"/>
    <xf numFmtId="164" fontId="6" fillId="0" borderId="0" xfId="25" applyNumberFormat="1" applyFont="1" applyFill="1" applyAlignment="1">
      <alignment horizontal="left"/>
    </xf>
    <xf numFmtId="164" fontId="6" fillId="0" borderId="0" xfId="25" applyNumberFormat="1" applyFont="1" applyFill="1" applyAlignment="1"/>
    <xf numFmtId="0" fontId="6" fillId="0" borderId="0" xfId="30" applyFont="1" applyAlignment="1">
      <alignment wrapText="1" indent="2"/>
    </xf>
    <xf numFmtId="173" fontId="6" fillId="0" borderId="8" xfId="24" applyNumberFormat="1" applyFont="1" applyFill="1" applyBorder="1" applyAlignment="1"/>
    <xf numFmtId="173" fontId="6" fillId="0" borderId="0" xfId="24" applyNumberFormat="1" applyFont="1" applyFill="1" applyAlignment="1">
      <alignment horizontal="left"/>
    </xf>
    <xf numFmtId="166" fontId="6" fillId="0" borderId="8" xfId="24" applyNumberFormat="1" applyFont="1" applyFill="1" applyBorder="1" applyAlignment="1"/>
    <xf numFmtId="44" fontId="6" fillId="0" borderId="8" xfId="25" applyFont="1" applyFill="1" applyBorder="1" applyAlignment="1"/>
    <xf numFmtId="166" fontId="6" fillId="0" borderId="0" xfId="24" applyNumberFormat="1" applyFont="1" applyFill="1" applyAlignment="1">
      <alignment horizontal="left"/>
    </xf>
    <xf numFmtId="44" fontId="6" fillId="0" borderId="0" xfId="25" applyFont="1" applyFill="1" applyAlignment="1"/>
    <xf numFmtId="43" fontId="6" fillId="0" borderId="9" xfId="24" applyFont="1" applyFill="1" applyBorder="1" applyAlignment="1"/>
    <xf numFmtId="43" fontId="6" fillId="0" borderId="1" xfId="24" applyFont="1" applyFill="1" applyBorder="1" applyAlignment="1"/>
    <xf numFmtId="43" fontId="6" fillId="0" borderId="8" xfId="24" applyFont="1" applyFill="1" applyBorder="1" applyAlignment="1"/>
    <xf numFmtId="43" fontId="6" fillId="0" borderId="0" xfId="24" applyFont="1" applyFill="1" applyBorder="1" applyAlignment="1"/>
    <xf numFmtId="167" fontId="6" fillId="0" borderId="0" xfId="30" applyNumberFormat="1" applyFont="1" applyAlignment="1">
      <alignment horizontal="left"/>
    </xf>
    <xf numFmtId="174" fontId="6" fillId="0" borderId="4" xfId="25" applyNumberFormat="1" applyFont="1" applyFill="1" applyBorder="1" applyAlignment="1"/>
    <xf numFmtId="0" fontId="9" fillId="0" borderId="0" xfId="30" applyFont="1" applyAlignment="1">
      <alignment wrapText="1"/>
    </xf>
    <xf numFmtId="164" fontId="6" fillId="0" borderId="10" xfId="25" applyNumberFormat="1" applyFont="1" applyFill="1" applyBorder="1" applyAlignment="1"/>
    <xf numFmtId="0" fontId="6" fillId="0" borderId="8" xfId="30" applyFont="1" applyBorder="1" applyAlignment="1">
      <alignment horizontal="left"/>
    </xf>
    <xf numFmtId="0" fontId="6" fillId="0" borderId="0" xfId="30" applyFont="1" applyFill="1" applyAlignment="1">
      <alignment horizontal="left"/>
    </xf>
    <xf numFmtId="0" fontId="6" fillId="0" borderId="0" xfId="30" applyFont="1" applyFill="1" applyBorder="1" applyAlignment="1">
      <alignment horizontal="left"/>
    </xf>
    <xf numFmtId="172" fontId="6" fillId="0" borderId="8" xfId="30" applyNumberFormat="1" applyFont="1" applyFill="1" applyBorder="1" applyAlignment="1">
      <alignment horizontal="left"/>
    </xf>
    <xf numFmtId="0" fontId="3" fillId="0" borderId="0" xfId="30" applyFill="1" applyAlignment="1">
      <alignment horizontal="left"/>
    </xf>
    <xf numFmtId="172" fontId="3" fillId="0" borderId="0" xfId="30" applyNumberFormat="1" applyFill="1" applyBorder="1" applyAlignment="1">
      <alignment horizontal="left"/>
    </xf>
    <xf numFmtId="172" fontId="6" fillId="0" borderId="0" xfId="30" applyNumberFormat="1" applyFont="1" applyFill="1" applyAlignment="1">
      <alignment horizontal="left"/>
    </xf>
    <xf numFmtId="0" fontId="3" fillId="0" borderId="0" xfId="30" applyFill="1" applyAlignment="1">
      <alignment wrapText="1"/>
    </xf>
    <xf numFmtId="174" fontId="6" fillId="0" borderId="0" xfId="25" applyNumberFormat="1" applyFont="1" applyAlignment="1">
      <alignment wrapText="1"/>
    </xf>
    <xf numFmtId="0" fontId="6" fillId="0" borderId="10" xfId="30" applyFont="1" applyBorder="1" applyAlignment="1">
      <alignment wrapText="1"/>
    </xf>
    <xf numFmtId="0" fontId="6" fillId="0" borderId="0" xfId="26" applyFont="1" applyFill="1" applyAlignment="1">
      <alignment wrapText="1"/>
    </xf>
    <xf numFmtId="0" fontId="6" fillId="0" borderId="8" xfId="30" applyFont="1" applyBorder="1" applyAlignment="1">
      <alignment wrapText="1"/>
    </xf>
    <xf numFmtId="174" fontId="6" fillId="0" borderId="0" xfId="30" applyNumberFormat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7" fillId="0" borderId="2" xfId="30" applyFont="1" applyBorder="1" applyAlignment="1">
      <alignment horizontal="center" wrapText="1"/>
    </xf>
    <xf numFmtId="0" fontId="7" fillId="0" borderId="11" xfId="30" applyFont="1" applyBorder="1" applyAlignment="1">
      <alignment horizontal="center" wrapText="1"/>
    </xf>
    <xf numFmtId="0" fontId="7" fillId="0" borderId="1" xfId="30" applyFont="1" applyBorder="1" applyAlignment="1">
      <alignment horizontal="center"/>
    </xf>
    <xf numFmtId="0" fontId="7" fillId="0" borderId="9" xfId="30" applyFont="1" applyBorder="1" applyAlignment="1">
      <alignment horizontal="center"/>
    </xf>
    <xf numFmtId="0" fontId="4" fillId="0" borderId="0" xfId="30" applyFont="1" applyAlignment="1">
      <alignment horizontal="center" wrapText="1"/>
    </xf>
    <xf numFmtId="0" fontId="6" fillId="0" borderId="0" xfId="30" applyFont="1" applyAlignment="1">
      <alignment horizontal="left"/>
    </xf>
    <xf numFmtId="0" fontId="4" fillId="0" borderId="0" xfId="30" applyFont="1" applyAlignment="1">
      <alignment horizontal="center"/>
    </xf>
    <xf numFmtId="0" fontId="3" fillId="0" borderId="0" xfId="30" applyAlignment="1">
      <alignment horizontal="left"/>
    </xf>
    <xf numFmtId="167" fontId="7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71" fontId="6" fillId="0" borderId="0" xfId="0" applyNumberFormat="1" applyFont="1" applyAlignment="1"/>
    <xf numFmtId="0" fontId="4" fillId="0" borderId="0" xfId="0" applyFont="1" applyAlignment="1">
      <alignment horizontal="center"/>
    </xf>
  </cellXfs>
  <cellStyles count="32">
    <cellStyle name="Comma" xfId="1" builtinId="3"/>
    <cellStyle name="Comma 2" xfId="4"/>
    <cellStyle name="Comma 3" xfId="5"/>
    <cellStyle name="Comma 3 2" xfId="28"/>
    <cellStyle name="Comma 3 3" xfId="20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3" xfId="21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3" xfId="11"/>
    <cellStyle name="Normal 3 2" xfId="27"/>
    <cellStyle name="Normal 3 3" xfId="19"/>
    <cellStyle name="Normal 4" xfId="12"/>
    <cellStyle name="Normal 5" xfId="23"/>
    <cellStyle name="Normal 5 2" xfId="30"/>
    <cellStyle name="Normal 6" xfId="15"/>
    <cellStyle name="Normal 7" xfId="14"/>
    <cellStyle name="Normal 8" xfId="31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zczepan\AppData\Local\Microsoft\Windows\Temporary%20Internet%20Files\Content.Outlook\M3M3N4OJ\MDASegment%20Per%20ton%202016%20excl%20SCA--basecase%20excl%20accretion--met%20complexesQDR--VAL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&amp;Cost Summ"/>
      <sheetName val="Real&amp;Cost Summ--WBIT trans"/>
      <sheetName val="Real&amp;Cost Summ--WBIT trans-old"/>
      <sheetName val="Cash Margin to EBITDA recon"/>
      <sheetName val="Operational Performance"/>
      <sheetName val="Reconciliations"/>
      <sheetName val="Op Margin"/>
      <sheetName val="Coal Sales"/>
      <sheetName val="Cost of Coal Sales"/>
      <sheetName val="BUCKSKIN data"/>
      <sheetName val="OLD Summary"/>
      <sheetName val="OLD sales-ACI"/>
      <sheetName val="OLD cost of sales-ACI"/>
      <sheetName val="OLD analyst support"/>
    </sheetNames>
    <sheetDataSet>
      <sheetData sheetId="0"/>
      <sheetData sheetId="1"/>
      <sheetData sheetId="2"/>
      <sheetData sheetId="3">
        <row r="12">
          <cell r="AH12">
            <v>16505.749980000001</v>
          </cell>
          <cell r="AI12">
            <v>15638.571169999999</v>
          </cell>
          <cell r="AM12">
            <v>21325.947120000001</v>
          </cell>
          <cell r="AN12">
            <v>18091.814760000001</v>
          </cell>
        </row>
        <row r="24">
          <cell r="AH24">
            <v>2164.5747000000001</v>
          </cell>
          <cell r="AI24">
            <v>2306.9536600000001</v>
          </cell>
          <cell r="AM24">
            <v>2059.73227</v>
          </cell>
          <cell r="AN24">
            <v>2104.1904599999998</v>
          </cell>
        </row>
        <row r="58">
          <cell r="AH58">
            <v>1276.1225899999999</v>
          </cell>
          <cell r="AI58">
            <v>1436.13912</v>
          </cell>
          <cell r="AM58">
            <v>2291.3583800000001</v>
          </cell>
          <cell r="AN58">
            <v>2325.31077</v>
          </cell>
        </row>
        <row r="78">
          <cell r="AH78">
            <v>-19825.712960000001</v>
          </cell>
          <cell r="AI78">
            <v>-19019.633029999997</v>
          </cell>
          <cell r="AM78">
            <v>-20522.909179999999</v>
          </cell>
          <cell r="AN78">
            <v>-22145.764039999998</v>
          </cell>
        </row>
        <row r="80">
          <cell r="AH80">
            <v>-1628.5</v>
          </cell>
          <cell r="AI80">
            <v>0</v>
          </cell>
        </row>
        <row r="81">
          <cell r="AH81">
            <v>-2507.6425100000451</v>
          </cell>
          <cell r="AI81">
            <v>1959.9496800000627</v>
          </cell>
          <cell r="AM81">
            <v>-1809.4558800000523</v>
          </cell>
          <cell r="AN81">
            <v>-2673.4318399999902</v>
          </cell>
        </row>
        <row r="83">
          <cell r="AH83">
            <v>-1719.91272</v>
          </cell>
          <cell r="AI83">
            <v>-309.64282999995402</v>
          </cell>
          <cell r="AM83">
            <v>120497.7859</v>
          </cell>
          <cell r="AN83">
            <v>95367.953030000004</v>
          </cell>
        </row>
      </sheetData>
      <sheetData sheetId="4"/>
      <sheetData sheetId="5">
        <row r="14">
          <cell r="K14">
            <v>218467.91099999999</v>
          </cell>
          <cell r="L14">
            <v>204506.60117000001</v>
          </cell>
          <cell r="P14">
            <v>268087.66008</v>
          </cell>
          <cell r="Q14">
            <v>227079.12070999999</v>
          </cell>
        </row>
        <row r="15">
          <cell r="K15">
            <v>110612.35287</v>
          </cell>
          <cell r="L15">
            <v>122132.95521</v>
          </cell>
          <cell r="P15">
            <v>187111.20465</v>
          </cell>
          <cell r="Q15">
            <v>190623.21992</v>
          </cell>
        </row>
        <row r="16">
          <cell r="K16">
            <v>50790.701910000003</v>
          </cell>
          <cell r="L16">
            <v>51356.026109999999</v>
          </cell>
          <cell r="P16">
            <v>81365.439140000002</v>
          </cell>
          <cell r="Q16">
            <v>77698.447459999996</v>
          </cell>
        </row>
        <row r="20">
          <cell r="K20">
            <v>163.05000000000001</v>
          </cell>
          <cell r="L20">
            <v>180</v>
          </cell>
          <cell r="Q20">
            <v>0</v>
          </cell>
          <cell r="V20">
            <v>0</v>
          </cell>
        </row>
        <row r="21">
          <cell r="K21">
            <v>37498.785340000002</v>
          </cell>
          <cell r="L21">
            <v>37839.624499999998</v>
          </cell>
          <cell r="P21">
            <v>64358.83554</v>
          </cell>
          <cell r="Q21">
            <v>54466.441659999997</v>
          </cell>
        </row>
        <row r="22">
          <cell r="K22">
            <v>10573.198879999982</v>
          </cell>
          <cell r="L22">
            <v>4282.7930100000231</v>
          </cell>
          <cell r="P22">
            <v>51.860589999938384</v>
          </cell>
          <cell r="Q22">
            <v>-1.2297499999403954</v>
          </cell>
        </row>
        <row r="31">
          <cell r="K31">
            <v>205693.0287</v>
          </cell>
          <cell r="L31">
            <v>183217.79556</v>
          </cell>
          <cell r="P31">
            <v>220370.94855999999</v>
          </cell>
          <cell r="Q31">
            <v>195665.18846</v>
          </cell>
        </row>
        <row r="32">
          <cell r="K32">
            <v>104313.92763999999</v>
          </cell>
          <cell r="L32">
            <v>125764.8762</v>
          </cell>
          <cell r="P32">
            <v>118787.59480000001</v>
          </cell>
          <cell r="Q32">
            <v>128246.25384999999</v>
          </cell>
        </row>
        <row r="33">
          <cell r="K33">
            <v>47622.06669</v>
          </cell>
          <cell r="L33">
            <v>52262.870210000001</v>
          </cell>
          <cell r="P33">
            <v>54575.609550000001</v>
          </cell>
          <cell r="Q33">
            <v>51302.19687</v>
          </cell>
        </row>
        <row r="37">
          <cell r="K37">
            <v>-1334.088</v>
          </cell>
          <cell r="L37">
            <v>-1208.655</v>
          </cell>
          <cell r="P37">
            <v>-604.24559999999997</v>
          </cell>
          <cell r="Q37">
            <v>-891.072</v>
          </cell>
        </row>
        <row r="39">
          <cell r="K39">
            <v>17216.279630000005</v>
          </cell>
          <cell r="L39">
            <v>13115.488530000031</v>
          </cell>
          <cell r="P39">
            <v>3921.2571500000195</v>
          </cell>
          <cell r="Q39">
            <v>6248.9911599999759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03"/>
  <sheetViews>
    <sheetView tabSelected="1" workbookViewId="0">
      <selection activeCell="J30" sqref="J30"/>
    </sheetView>
  </sheetViews>
  <sheetFormatPr defaultColWidth="21.5" defaultRowHeight="13.5" customHeight="1" x14ac:dyDescent="0.2"/>
  <cols>
    <col min="1" max="1" width="74" style="1" bestFit="1" customWidth="1"/>
    <col min="2" max="3" width="16.83203125" style="1" customWidth="1"/>
    <col min="4" max="4" width="0.6640625" style="1" customWidth="1"/>
    <col min="5" max="6" width="16.83203125" style="1" customWidth="1"/>
    <col min="7" max="16384" width="21.5" style="1"/>
  </cols>
  <sheetData>
    <row r="1" spans="1:9" ht="13.5" customHeight="1" x14ac:dyDescent="0.25">
      <c r="A1" s="303" t="s">
        <v>0</v>
      </c>
      <c r="B1" s="303"/>
      <c r="C1" s="303"/>
    </row>
    <row r="2" spans="1:9" ht="13.5" customHeight="1" x14ac:dyDescent="0.25">
      <c r="A2" s="303" t="s">
        <v>1</v>
      </c>
      <c r="B2" s="303"/>
      <c r="C2" s="303"/>
    </row>
    <row r="3" spans="1:9" ht="13.5" customHeight="1" x14ac:dyDescent="0.25">
      <c r="A3" s="303" t="s">
        <v>2</v>
      </c>
      <c r="B3" s="303"/>
      <c r="C3" s="303"/>
    </row>
    <row r="4" spans="1:9" ht="13.5" customHeight="1" x14ac:dyDescent="0.2">
      <c r="A4" s="2"/>
      <c r="B4" s="2"/>
      <c r="C4" s="2"/>
    </row>
    <row r="5" spans="1:9" s="139" customFormat="1" ht="13.5" customHeight="1" x14ac:dyDescent="0.2">
      <c r="A5" s="22"/>
      <c r="B5" s="22"/>
      <c r="C5" s="22"/>
    </row>
    <row r="6" spans="1:9" ht="13.5" customHeight="1" x14ac:dyDescent="0.2">
      <c r="A6" s="3"/>
      <c r="B6" s="156" t="s">
        <v>96</v>
      </c>
      <c r="C6" s="209" t="s">
        <v>95</v>
      </c>
      <c r="E6" s="156" t="s">
        <v>96</v>
      </c>
      <c r="F6" s="251" t="s">
        <v>95</v>
      </c>
    </row>
    <row r="7" spans="1:9" ht="33.75" x14ac:dyDescent="0.2">
      <c r="A7" s="3"/>
      <c r="B7" s="156" t="s">
        <v>171</v>
      </c>
      <c r="C7" s="136" t="s">
        <v>172</v>
      </c>
      <c r="E7" s="156" t="s">
        <v>169</v>
      </c>
      <c r="F7" s="210" t="s">
        <v>170</v>
      </c>
    </row>
    <row r="8" spans="1:9" ht="13.5" customHeight="1" x14ac:dyDescent="0.2">
      <c r="A8" s="3"/>
      <c r="B8" s="157" t="s">
        <v>4</v>
      </c>
      <c r="C8" s="169" t="s">
        <v>4</v>
      </c>
      <c r="E8" s="157" t="s">
        <v>4</v>
      </c>
      <c r="F8" s="169" t="s">
        <v>4</v>
      </c>
    </row>
    <row r="9" spans="1:9" ht="13.5" customHeight="1" x14ac:dyDescent="0.2">
      <c r="A9" s="3"/>
      <c r="B9" s="144"/>
      <c r="C9" s="115"/>
      <c r="E9" s="144"/>
      <c r="F9" s="248"/>
    </row>
    <row r="10" spans="1:9" ht="13.5" customHeight="1" x14ac:dyDescent="0.2">
      <c r="A10" s="59" t="s">
        <v>5</v>
      </c>
      <c r="B10" s="145">
        <v>549866</v>
      </c>
      <c r="C10" s="60">
        <v>420298</v>
      </c>
      <c r="E10" s="145">
        <v>1150841</v>
      </c>
      <c r="F10" s="60">
        <v>848404</v>
      </c>
    </row>
    <row r="11" spans="1:9" ht="13.5" customHeight="1" x14ac:dyDescent="0.2">
      <c r="A11" s="27"/>
      <c r="B11" s="146"/>
      <c r="C11" s="61"/>
      <c r="E11" s="146"/>
      <c r="F11" s="61"/>
    </row>
    <row r="12" spans="1:9" ht="13.5" customHeight="1" x14ac:dyDescent="0.2">
      <c r="A12" s="59" t="s">
        <v>6</v>
      </c>
      <c r="B12" s="146"/>
      <c r="C12" s="61"/>
      <c r="E12" s="146"/>
      <c r="F12" s="61"/>
    </row>
    <row r="13" spans="1:9" ht="13.5" customHeight="1" x14ac:dyDescent="0.2">
      <c r="A13" s="62" t="s">
        <v>7</v>
      </c>
      <c r="B13" s="147">
        <v>435038</v>
      </c>
      <c r="C13" s="63">
        <v>410992</v>
      </c>
      <c r="E13" s="147">
        <v>896448</v>
      </c>
      <c r="F13" s="63">
        <v>822002</v>
      </c>
      <c r="G13" s="43"/>
      <c r="H13" s="43"/>
      <c r="I13" s="43"/>
    </row>
    <row r="14" spans="1:9" ht="13.5" customHeight="1" x14ac:dyDescent="0.2">
      <c r="A14" s="62" t="s">
        <v>8</v>
      </c>
      <c r="B14" s="147">
        <v>30701</v>
      </c>
      <c r="C14" s="63">
        <v>58459</v>
      </c>
      <c r="E14" s="147">
        <v>62622</v>
      </c>
      <c r="F14" s="63">
        <v>122158</v>
      </c>
    </row>
    <row r="15" spans="1:9" s="139" customFormat="1" ht="13.5" customHeight="1" x14ac:dyDescent="0.2">
      <c r="A15" s="62" t="s">
        <v>100</v>
      </c>
      <c r="B15" s="147">
        <v>7623</v>
      </c>
      <c r="C15" s="63">
        <v>8050</v>
      </c>
      <c r="E15" s="147">
        <v>15246</v>
      </c>
      <c r="F15" s="63">
        <v>16356</v>
      </c>
    </row>
    <row r="16" spans="1:9" ht="13.5" customHeight="1" x14ac:dyDescent="0.2">
      <c r="A16" s="62" t="s">
        <v>112</v>
      </c>
      <c r="B16" s="147">
        <v>14352</v>
      </c>
      <c r="C16" s="63">
        <v>1</v>
      </c>
      <c r="E16" s="147">
        <v>29042</v>
      </c>
      <c r="F16" s="63">
        <v>-832</v>
      </c>
    </row>
    <row r="17" spans="1:6" ht="13.5" customHeight="1" x14ac:dyDescent="0.2">
      <c r="A17" s="62" t="s">
        <v>9</v>
      </c>
      <c r="B17" s="147">
        <v>863</v>
      </c>
      <c r="C17" s="63">
        <v>1158</v>
      </c>
      <c r="E17" s="147">
        <v>1717</v>
      </c>
      <c r="F17" s="63">
        <v>2368</v>
      </c>
    </row>
    <row r="18" spans="1:6" s="51" customFormat="1" ht="13.5" customHeight="1" x14ac:dyDescent="0.2">
      <c r="A18" s="62" t="s">
        <v>83</v>
      </c>
      <c r="B18" s="147">
        <v>0</v>
      </c>
      <c r="C18" s="63">
        <v>43701</v>
      </c>
      <c r="D18" s="43"/>
      <c r="E18" s="147">
        <v>0</v>
      </c>
      <c r="F18" s="63">
        <v>129221</v>
      </c>
    </row>
    <row r="19" spans="1:6" ht="13.5" customHeight="1" x14ac:dyDescent="0.2">
      <c r="A19" s="62" t="s">
        <v>10</v>
      </c>
      <c r="B19" s="147">
        <v>22146</v>
      </c>
      <c r="C19" s="63">
        <v>19019</v>
      </c>
      <c r="E19" s="147">
        <v>42669</v>
      </c>
      <c r="F19" s="63">
        <v>38845</v>
      </c>
    </row>
    <row r="20" spans="1:6" ht="13.5" customHeight="1" x14ac:dyDescent="0.2">
      <c r="A20" s="62" t="s">
        <v>153</v>
      </c>
      <c r="B20" s="148">
        <v>-3549</v>
      </c>
      <c r="C20" s="64">
        <v>-10561</v>
      </c>
      <c r="E20" s="148">
        <f>7479-13338</f>
        <v>-5859</v>
      </c>
      <c r="F20" s="64">
        <v>-12781</v>
      </c>
    </row>
    <row r="21" spans="1:6" ht="13.5" customHeight="1" x14ac:dyDescent="0.2">
      <c r="A21" s="65"/>
      <c r="B21" s="148">
        <f>SUM(B13:B20)</f>
        <v>507174</v>
      </c>
      <c r="C21" s="66">
        <f>SUM(C13:C20)</f>
        <v>530819</v>
      </c>
      <c r="E21" s="148">
        <f>SUM(E13:E20)</f>
        <v>1041885</v>
      </c>
      <c r="F21" s="66">
        <f>SUM(F13:F20)</f>
        <v>1117337</v>
      </c>
    </row>
    <row r="22" spans="1:6" ht="13.5" customHeight="1" x14ac:dyDescent="0.2">
      <c r="A22" s="27"/>
      <c r="B22" s="147"/>
      <c r="C22" s="63"/>
      <c r="E22" s="147"/>
      <c r="F22" s="63"/>
    </row>
    <row r="23" spans="1:6" ht="13.5" customHeight="1" x14ac:dyDescent="0.2">
      <c r="A23" s="67" t="s">
        <v>93</v>
      </c>
      <c r="B23" s="147">
        <f>+B10-B21</f>
        <v>42692</v>
      </c>
      <c r="C23" s="63">
        <f>+C10-C21</f>
        <v>-110521</v>
      </c>
      <c r="E23" s="147">
        <f>+E10-E21</f>
        <v>108956</v>
      </c>
      <c r="F23" s="63">
        <f>+F10-F21</f>
        <v>-268933</v>
      </c>
    </row>
    <row r="24" spans="1:6" ht="13.5" customHeight="1" x14ac:dyDescent="0.2">
      <c r="A24" s="27"/>
      <c r="B24" s="147"/>
      <c r="C24" s="63"/>
      <c r="E24" s="147"/>
      <c r="F24" s="63"/>
    </row>
    <row r="25" spans="1:6" ht="13.5" customHeight="1" x14ac:dyDescent="0.2">
      <c r="A25" s="59" t="s">
        <v>11</v>
      </c>
      <c r="B25" s="147"/>
      <c r="C25" s="63"/>
      <c r="E25" s="147"/>
      <c r="F25" s="63"/>
    </row>
    <row r="26" spans="1:6" ht="13.5" customHeight="1" x14ac:dyDescent="0.2">
      <c r="A26" s="62" t="s">
        <v>12</v>
      </c>
      <c r="B26" s="147">
        <v>-6003</v>
      </c>
      <c r="C26" s="63">
        <v>-45273</v>
      </c>
      <c r="E26" s="147">
        <v>-15428</v>
      </c>
      <c r="F26" s="63">
        <v>-89724</v>
      </c>
    </row>
    <row r="27" spans="1:6" ht="13.5" customHeight="1" x14ac:dyDescent="0.2">
      <c r="A27" s="62" t="s">
        <v>13</v>
      </c>
      <c r="B27" s="147">
        <v>842</v>
      </c>
      <c r="C27" s="64">
        <v>933</v>
      </c>
      <c r="E27" s="147">
        <v>1369</v>
      </c>
      <c r="F27" s="64">
        <v>2071</v>
      </c>
    </row>
    <row r="28" spans="1:6" ht="13.5" customHeight="1" x14ac:dyDescent="0.2">
      <c r="A28" s="27"/>
      <c r="B28" s="149">
        <f>SUM(B26:B27)</f>
        <v>-5161</v>
      </c>
      <c r="C28" s="66">
        <f>SUM(C26:C27)</f>
        <v>-44340</v>
      </c>
      <c r="E28" s="149">
        <f>SUM(E26:E27)</f>
        <v>-14059</v>
      </c>
      <c r="F28" s="66">
        <f>SUM(F26:F27)</f>
        <v>-87653</v>
      </c>
    </row>
    <row r="29" spans="1:6" ht="13.5" customHeight="1" x14ac:dyDescent="0.2">
      <c r="A29" s="27"/>
      <c r="B29" s="147"/>
      <c r="C29" s="63"/>
      <c r="E29" s="147"/>
      <c r="F29" s="63"/>
    </row>
    <row r="30" spans="1:6" s="139" customFormat="1" ht="13.5" customHeight="1" x14ac:dyDescent="0.2">
      <c r="A30" s="137" t="s">
        <v>110</v>
      </c>
      <c r="B30" s="147">
        <f>B23+B28</f>
        <v>37531</v>
      </c>
      <c r="C30" s="63">
        <f>C23+C28</f>
        <v>-154861</v>
      </c>
      <c r="E30" s="147">
        <f>E23+E28</f>
        <v>94897</v>
      </c>
      <c r="F30" s="63">
        <f>F23+F28</f>
        <v>-356586</v>
      </c>
    </row>
    <row r="31" spans="1:6" s="139" customFormat="1" ht="13.5" customHeight="1" x14ac:dyDescent="0.2">
      <c r="A31" s="137"/>
      <c r="B31" s="147"/>
      <c r="C31" s="63"/>
      <c r="E31" s="147"/>
      <c r="F31" s="63"/>
    </row>
    <row r="32" spans="1:6" s="54" customFormat="1" ht="13.5" customHeight="1" x14ac:dyDescent="0.2">
      <c r="A32" s="68" t="s">
        <v>158</v>
      </c>
      <c r="B32" s="147"/>
      <c r="C32" s="63"/>
      <c r="E32" s="147"/>
      <c r="F32" s="63"/>
    </row>
    <row r="33" spans="1:9" s="54" customFormat="1" ht="13.5" customHeight="1" x14ac:dyDescent="0.2">
      <c r="A33" s="62" t="s">
        <v>86</v>
      </c>
      <c r="B33" s="147">
        <v>-31</v>
      </c>
      <c r="C33" s="70">
        <v>0</v>
      </c>
      <c r="E33" s="147">
        <v>-2061</v>
      </c>
      <c r="F33" s="70">
        <v>-2213</v>
      </c>
    </row>
    <row r="34" spans="1:9" s="103" customFormat="1" ht="13.5" customHeight="1" x14ac:dyDescent="0.2">
      <c r="A34" s="62" t="s">
        <v>88</v>
      </c>
      <c r="B34" s="148">
        <v>-21</v>
      </c>
      <c r="C34" s="64">
        <v>-21271</v>
      </c>
      <c r="E34" s="148">
        <v>-2849</v>
      </c>
      <c r="F34" s="64">
        <v>-25146</v>
      </c>
    </row>
    <row r="35" spans="1:9" s="95" customFormat="1" ht="13.5" customHeight="1" x14ac:dyDescent="0.2">
      <c r="A35" s="62"/>
      <c r="B35" s="149">
        <f>SUM(B33:B34)</f>
        <v>-52</v>
      </c>
      <c r="C35" s="66">
        <f>SUM(C33:C34)</f>
        <v>-21271</v>
      </c>
      <c r="E35" s="149">
        <f>SUM(E33:E34)</f>
        <v>-4910</v>
      </c>
      <c r="F35" s="66">
        <f>SUM(F33:F34)</f>
        <v>-27359</v>
      </c>
    </row>
    <row r="36" spans="1:9" s="54" customFormat="1" ht="13.5" customHeight="1" x14ac:dyDescent="0.2">
      <c r="A36" s="27"/>
      <c r="B36" s="147"/>
      <c r="C36" s="63"/>
      <c r="E36" s="147"/>
      <c r="F36" s="63"/>
    </row>
    <row r="37" spans="1:9" ht="13.5" customHeight="1" x14ac:dyDescent="0.2">
      <c r="A37" s="69" t="s">
        <v>103</v>
      </c>
      <c r="B37" s="147">
        <f>B30+B35</f>
        <v>37479</v>
      </c>
      <c r="C37" s="63">
        <f>C30+C35</f>
        <v>-176132</v>
      </c>
      <c r="E37" s="147">
        <f>E30+E35</f>
        <v>89987</v>
      </c>
      <c r="F37" s="63">
        <f>F30+F35</f>
        <v>-383945</v>
      </c>
    </row>
    <row r="38" spans="1:9" ht="13.5" customHeight="1" x14ac:dyDescent="0.2">
      <c r="A38" s="69" t="s">
        <v>94</v>
      </c>
      <c r="B38" s="148">
        <v>319</v>
      </c>
      <c r="C38" s="64">
        <v>-245</v>
      </c>
      <c r="E38" s="148">
        <v>1159</v>
      </c>
      <c r="F38" s="64">
        <v>-1356</v>
      </c>
      <c r="H38" s="43"/>
      <c r="I38" s="43"/>
    </row>
    <row r="39" spans="1:9" s="31" customFormat="1" ht="13.5" customHeight="1" x14ac:dyDescent="0.2">
      <c r="A39" s="69"/>
      <c r="B39" s="147"/>
      <c r="C39" s="70"/>
      <c r="E39" s="147"/>
      <c r="F39" s="70"/>
    </row>
    <row r="40" spans="1:9" ht="13.5" customHeight="1" thickBot="1" x14ac:dyDescent="0.25">
      <c r="A40" s="71" t="s">
        <v>105</v>
      </c>
      <c r="B40" s="150">
        <f>B37-B38</f>
        <v>37160</v>
      </c>
      <c r="C40" s="72">
        <f>C37-C38</f>
        <v>-175887</v>
      </c>
      <c r="E40" s="150">
        <f>E37-E38</f>
        <v>88828</v>
      </c>
      <c r="F40" s="72">
        <f>F37-F38</f>
        <v>-382589</v>
      </c>
    </row>
    <row r="41" spans="1:9" ht="13.5" customHeight="1" thickTop="1" x14ac:dyDescent="0.2">
      <c r="A41" s="68"/>
      <c r="B41" s="146"/>
      <c r="C41" s="127"/>
      <c r="E41" s="146"/>
      <c r="F41" s="127"/>
    </row>
    <row r="42" spans="1:9" ht="13.5" customHeight="1" x14ac:dyDescent="0.2">
      <c r="A42" s="59" t="s">
        <v>147</v>
      </c>
      <c r="B42" s="151"/>
      <c r="C42" s="73"/>
      <c r="E42" s="151"/>
      <c r="F42" s="73"/>
    </row>
    <row r="43" spans="1:9" ht="13.5" customHeight="1" thickBot="1" x14ac:dyDescent="0.25">
      <c r="A43" s="96" t="s">
        <v>149</v>
      </c>
      <c r="B43" s="152">
        <f>ROUND(B40/B47,2)</f>
        <v>1.51</v>
      </c>
      <c r="C43" s="141">
        <f>ROUND(C40/C47,2)</f>
        <v>-8.26</v>
      </c>
      <c r="E43" s="152">
        <f>ROUND(E40/E47,2)</f>
        <v>3.58</v>
      </c>
      <c r="F43" s="141">
        <f>ROUND(F40/F47,2)</f>
        <v>-17.97</v>
      </c>
    </row>
    <row r="44" spans="1:9" s="188" customFormat="1" ht="13.5" customHeight="1" thickTop="1" thickBot="1" x14ac:dyDescent="0.25">
      <c r="A44" s="187" t="s">
        <v>150</v>
      </c>
      <c r="B44" s="189">
        <f>ROUND(B40/B48,2)</f>
        <v>1.48</v>
      </c>
      <c r="C44" s="141">
        <f>ROUND(C40/C48,2)</f>
        <v>-8.26</v>
      </c>
      <c r="E44" s="189">
        <f>ROUND(E40/E48,2)</f>
        <v>3.52</v>
      </c>
      <c r="F44" s="141">
        <f>ROUND(F40/F48,2)</f>
        <v>-17.97</v>
      </c>
    </row>
    <row r="45" spans="1:9" ht="13.5" customHeight="1" thickTop="1" x14ac:dyDescent="0.2">
      <c r="A45" s="97"/>
      <c r="B45" s="146"/>
      <c r="C45" s="61"/>
      <c r="E45" s="146"/>
      <c r="F45" s="61"/>
    </row>
    <row r="46" spans="1:9" s="257" customFormat="1" ht="13.5" customHeight="1" x14ac:dyDescent="0.2">
      <c r="A46" s="68" t="s">
        <v>177</v>
      </c>
      <c r="B46" s="146"/>
      <c r="C46" s="61"/>
      <c r="E46" s="146"/>
      <c r="F46" s="61"/>
    </row>
    <row r="47" spans="1:9" ht="13.5" customHeight="1" thickBot="1" x14ac:dyDescent="0.25">
      <c r="A47" s="96" t="s">
        <v>111</v>
      </c>
      <c r="B47" s="153">
        <v>24659</v>
      </c>
      <c r="C47" s="142">
        <v>21293</v>
      </c>
      <c r="E47" s="153">
        <v>24834</v>
      </c>
      <c r="F47" s="142">
        <v>21293</v>
      </c>
    </row>
    <row r="48" spans="1:9" s="188" customFormat="1" ht="13.5" customHeight="1" thickTop="1" thickBot="1" x14ac:dyDescent="0.25">
      <c r="A48" s="187" t="s">
        <v>14</v>
      </c>
      <c r="B48" s="153">
        <v>25082</v>
      </c>
      <c r="C48" s="142">
        <v>21293</v>
      </c>
      <c r="E48" s="153">
        <v>25245</v>
      </c>
      <c r="F48" s="142">
        <v>21293</v>
      </c>
    </row>
    <row r="49" spans="1:6" ht="13.5" customHeight="1" thickTop="1" x14ac:dyDescent="0.2">
      <c r="A49" s="97"/>
      <c r="B49" s="146"/>
      <c r="C49" s="61"/>
      <c r="E49" s="146"/>
      <c r="F49" s="61"/>
    </row>
    <row r="50" spans="1:6" s="257" customFormat="1" ht="13.5" customHeight="1" thickBot="1" x14ac:dyDescent="0.25">
      <c r="A50" s="256" t="s">
        <v>178</v>
      </c>
      <c r="B50" s="189">
        <v>0.35</v>
      </c>
      <c r="C50" s="258">
        <v>0</v>
      </c>
      <c r="E50" s="189">
        <v>0.35</v>
      </c>
      <c r="F50" s="258">
        <v>0</v>
      </c>
    </row>
    <row r="51" spans="1:6" s="257" customFormat="1" ht="13.5" customHeight="1" thickTop="1" x14ac:dyDescent="0.2">
      <c r="A51" s="256"/>
      <c r="B51" s="146"/>
      <c r="C51" s="61"/>
      <c r="E51" s="146"/>
      <c r="F51" s="61"/>
    </row>
    <row r="52" spans="1:6" ht="13.5" customHeight="1" thickBot="1" x14ac:dyDescent="0.25">
      <c r="A52" s="59" t="s">
        <v>123</v>
      </c>
      <c r="B52" s="154">
        <f>'Reconciliation page'!B35</f>
        <v>95368</v>
      </c>
      <c r="C52" s="74">
        <f>'Reconciliation page'!C35</f>
        <v>-310</v>
      </c>
      <c r="E52" s="154">
        <f>'Reconciliation page'!E35</f>
        <v>215866</v>
      </c>
      <c r="F52" s="74">
        <f>'Reconciliation page'!F35</f>
        <v>-2030</v>
      </c>
    </row>
    <row r="53" spans="1:6" ht="13.5" customHeight="1" thickTop="1" thickBot="1" x14ac:dyDescent="0.25">
      <c r="A53" s="59" t="s">
        <v>148</v>
      </c>
      <c r="B53" s="155">
        <f>'Reconciliation page'!B68</f>
        <v>1.8492943146479548</v>
      </c>
      <c r="C53" s="143">
        <f>'Reconciliation page'!C68</f>
        <v>-5.3168646973183673</v>
      </c>
      <c r="E53" s="155">
        <f>'Reconciliation page'!E68</f>
        <v>4.4078035254505838</v>
      </c>
      <c r="F53" s="143">
        <f>'Reconciliation page'!F68</f>
        <v>-10.804207955666181</v>
      </c>
    </row>
    <row r="54" spans="1:6" ht="36.75" customHeight="1" thickTop="1" x14ac:dyDescent="0.2">
      <c r="A54" s="301" t="s">
        <v>104</v>
      </c>
      <c r="B54" s="302"/>
      <c r="C54" s="302"/>
    </row>
    <row r="55" spans="1:6" ht="13.5" customHeight="1" x14ac:dyDescent="0.2">
      <c r="A55" s="27"/>
      <c r="B55" s="27"/>
      <c r="C55" s="27"/>
    </row>
    <row r="56" spans="1:6" ht="13.5" customHeight="1" x14ac:dyDescent="0.2">
      <c r="A56" s="27"/>
      <c r="B56" s="30"/>
      <c r="C56" s="27"/>
    </row>
    <row r="57" spans="1:6" ht="13.5" customHeight="1" x14ac:dyDescent="0.2">
      <c r="A57" s="27"/>
      <c r="B57" s="76"/>
      <c r="C57" s="30"/>
    </row>
    <row r="58" spans="1:6" ht="13.5" customHeight="1" x14ac:dyDescent="0.2">
      <c r="A58" s="27"/>
      <c r="B58" s="27"/>
      <c r="C58" s="27"/>
    </row>
    <row r="59" spans="1:6" ht="13.5" customHeight="1" x14ac:dyDescent="0.2">
      <c r="A59" s="27"/>
      <c r="B59" s="27"/>
      <c r="C59" s="27"/>
    </row>
    <row r="60" spans="1:6" ht="13.5" customHeight="1" x14ac:dyDescent="0.2">
      <c r="A60" s="77"/>
      <c r="B60" s="77"/>
      <c r="C60" s="77"/>
    </row>
    <row r="61" spans="1:6" ht="13.5" customHeight="1" x14ac:dyDescent="0.2">
      <c r="A61" s="77"/>
      <c r="B61" s="77"/>
      <c r="C61" s="77"/>
    </row>
    <row r="62" spans="1:6" ht="13.5" customHeight="1" x14ac:dyDescent="0.2">
      <c r="A62" s="2"/>
      <c r="B62" s="2"/>
      <c r="C62" s="2"/>
    </row>
    <row r="63" spans="1:6" ht="13.5" customHeight="1" x14ac:dyDescent="0.2">
      <c r="A63" s="2"/>
      <c r="B63" s="2"/>
      <c r="C63" s="2"/>
    </row>
    <row r="64" spans="1:6" ht="13.5" customHeight="1" x14ac:dyDescent="0.2">
      <c r="A64" s="2"/>
      <c r="B64" s="2"/>
      <c r="C64" s="2"/>
    </row>
    <row r="65" spans="1:3" ht="13.5" customHeight="1" x14ac:dyDescent="0.2">
      <c r="A65" s="2"/>
      <c r="B65" s="2"/>
      <c r="C65" s="2"/>
    </row>
    <row r="66" spans="1:3" ht="13.5" customHeight="1" x14ac:dyDescent="0.2">
      <c r="A66" s="2"/>
      <c r="B66" s="2"/>
      <c r="C66" s="2"/>
    </row>
    <row r="67" spans="1:3" ht="13.5" customHeight="1" x14ac:dyDescent="0.2">
      <c r="A67" s="2"/>
      <c r="B67" s="2"/>
      <c r="C67" s="2"/>
    </row>
    <row r="68" spans="1:3" ht="13.5" customHeight="1" x14ac:dyDescent="0.2">
      <c r="A68" s="2"/>
      <c r="B68" s="2"/>
      <c r="C68" s="2"/>
    </row>
    <row r="69" spans="1:3" ht="13.5" customHeight="1" x14ac:dyDescent="0.2">
      <c r="A69" s="2"/>
      <c r="B69" s="2"/>
      <c r="C69" s="2"/>
    </row>
    <row r="70" spans="1:3" ht="13.5" customHeight="1" x14ac:dyDescent="0.2">
      <c r="A70" s="2"/>
      <c r="B70" s="2"/>
      <c r="C70" s="2"/>
    </row>
    <row r="71" spans="1:3" ht="13.5" customHeight="1" x14ac:dyDescent="0.2">
      <c r="A71" s="2"/>
      <c r="B71" s="2"/>
      <c r="C71" s="2"/>
    </row>
    <row r="72" spans="1:3" ht="13.5" customHeight="1" x14ac:dyDescent="0.2">
      <c r="A72" s="2"/>
      <c r="B72" s="2"/>
      <c r="C72" s="2"/>
    </row>
    <row r="73" spans="1:3" ht="13.5" customHeight="1" x14ac:dyDescent="0.2">
      <c r="A73" s="2"/>
      <c r="B73" s="2"/>
      <c r="C73" s="2"/>
    </row>
    <row r="74" spans="1:3" ht="13.5" customHeight="1" x14ac:dyDescent="0.2">
      <c r="A74" s="2"/>
      <c r="B74" s="2"/>
      <c r="C74" s="2"/>
    </row>
    <row r="75" spans="1:3" ht="13.5" customHeight="1" x14ac:dyDescent="0.2">
      <c r="A75" s="2"/>
      <c r="B75" s="2"/>
      <c r="C75" s="2"/>
    </row>
    <row r="76" spans="1:3" ht="13.5" customHeight="1" x14ac:dyDescent="0.2">
      <c r="A76" s="2"/>
      <c r="B76" s="2"/>
      <c r="C76" s="2"/>
    </row>
    <row r="77" spans="1:3" ht="13.5" customHeight="1" x14ac:dyDescent="0.2">
      <c r="A77" s="2"/>
      <c r="B77" s="2"/>
      <c r="C77" s="2"/>
    </row>
    <row r="78" spans="1:3" ht="13.5" customHeight="1" x14ac:dyDescent="0.2">
      <c r="A78" s="2"/>
      <c r="B78" s="2"/>
      <c r="C78" s="2"/>
    </row>
    <row r="79" spans="1:3" ht="13.5" customHeight="1" x14ac:dyDescent="0.2">
      <c r="A79" s="2"/>
      <c r="B79" s="2"/>
      <c r="C79" s="2"/>
    </row>
    <row r="80" spans="1:3" ht="13.5" customHeight="1" x14ac:dyDescent="0.2">
      <c r="A80" s="2"/>
      <c r="B80" s="2"/>
      <c r="C80" s="2"/>
    </row>
    <row r="81" spans="1:3" ht="13.5" customHeight="1" x14ac:dyDescent="0.2">
      <c r="A81" s="2"/>
      <c r="B81" s="2"/>
      <c r="C81" s="2"/>
    </row>
    <row r="82" spans="1:3" ht="13.5" customHeight="1" x14ac:dyDescent="0.2">
      <c r="A82" s="2"/>
      <c r="B82" s="2"/>
      <c r="C82" s="2"/>
    </row>
    <row r="83" spans="1:3" ht="13.5" customHeight="1" x14ac:dyDescent="0.2">
      <c r="A83" s="2"/>
      <c r="B83" s="2"/>
      <c r="C83" s="2"/>
    </row>
    <row r="84" spans="1:3" ht="13.5" customHeight="1" x14ac:dyDescent="0.2">
      <c r="A84" s="2"/>
      <c r="B84" s="2"/>
      <c r="C84" s="2"/>
    </row>
    <row r="85" spans="1:3" ht="13.5" customHeight="1" x14ac:dyDescent="0.2">
      <c r="A85" s="2"/>
      <c r="B85" s="2"/>
      <c r="C85" s="2"/>
    </row>
    <row r="86" spans="1:3" ht="13.5" customHeight="1" x14ac:dyDescent="0.2">
      <c r="A86" s="2"/>
      <c r="B86" s="2"/>
      <c r="C86" s="2"/>
    </row>
    <row r="87" spans="1:3" ht="13.5" customHeight="1" x14ac:dyDescent="0.2">
      <c r="A87" s="2"/>
      <c r="B87" s="2"/>
      <c r="C87" s="2"/>
    </row>
    <row r="88" spans="1:3" ht="13.5" customHeight="1" x14ac:dyDescent="0.2">
      <c r="A88" s="2"/>
      <c r="B88" s="2"/>
      <c r="C88" s="2"/>
    </row>
    <row r="89" spans="1:3" ht="13.5" customHeight="1" x14ac:dyDescent="0.2">
      <c r="A89" s="2"/>
      <c r="B89" s="2"/>
      <c r="C89" s="2"/>
    </row>
    <row r="90" spans="1:3" ht="13.5" customHeight="1" x14ac:dyDescent="0.2">
      <c r="A90" s="2"/>
      <c r="B90" s="2"/>
      <c r="C90" s="2"/>
    </row>
    <row r="91" spans="1:3" ht="13.5" customHeight="1" x14ac:dyDescent="0.2">
      <c r="A91" s="2"/>
      <c r="B91" s="2"/>
      <c r="C91" s="2"/>
    </row>
    <row r="92" spans="1:3" ht="13.5" customHeight="1" x14ac:dyDescent="0.2">
      <c r="A92" s="2"/>
      <c r="B92" s="2"/>
      <c r="C92" s="2"/>
    </row>
    <row r="93" spans="1:3" ht="13.5" customHeight="1" x14ac:dyDescent="0.2">
      <c r="A93" s="2"/>
      <c r="B93" s="2"/>
      <c r="C93" s="2"/>
    </row>
    <row r="94" spans="1:3" ht="13.5" customHeight="1" x14ac:dyDescent="0.2">
      <c r="A94" s="2"/>
      <c r="B94" s="2"/>
      <c r="C94" s="2"/>
    </row>
    <row r="95" spans="1:3" ht="13.5" customHeight="1" x14ac:dyDescent="0.2">
      <c r="A95" s="2"/>
      <c r="B95" s="2"/>
      <c r="C95" s="2"/>
    </row>
    <row r="96" spans="1:3" ht="13.5" customHeight="1" x14ac:dyDescent="0.2">
      <c r="A96" s="2"/>
      <c r="B96" s="2"/>
      <c r="C96" s="2"/>
    </row>
    <row r="97" spans="1:3" ht="13.5" customHeight="1" x14ac:dyDescent="0.2">
      <c r="A97" s="2"/>
      <c r="B97" s="2"/>
      <c r="C97" s="2"/>
    </row>
    <row r="98" spans="1:3" ht="13.5" customHeight="1" x14ac:dyDescent="0.2">
      <c r="A98" s="2"/>
      <c r="B98" s="2"/>
      <c r="C98" s="2"/>
    </row>
    <row r="99" spans="1:3" ht="13.5" customHeight="1" x14ac:dyDescent="0.2">
      <c r="A99" s="2"/>
      <c r="B99" s="2"/>
      <c r="C99" s="2"/>
    </row>
    <row r="100" spans="1:3" ht="13.5" customHeight="1" x14ac:dyDescent="0.2">
      <c r="A100" s="2"/>
      <c r="B100" s="2"/>
      <c r="C100" s="2"/>
    </row>
    <row r="101" spans="1:3" ht="13.5" customHeight="1" x14ac:dyDescent="0.2">
      <c r="A101" s="2"/>
      <c r="B101" s="2"/>
      <c r="C101" s="2"/>
    </row>
    <row r="102" spans="1:3" ht="13.5" customHeight="1" x14ac:dyDescent="0.2">
      <c r="A102" s="2"/>
      <c r="B102" s="2"/>
      <c r="C102" s="2"/>
    </row>
    <row r="103" spans="1:3" ht="13.5" customHeight="1" x14ac:dyDescent="0.2">
      <c r="A103" s="2"/>
      <c r="B103" s="2"/>
      <c r="C103" s="2"/>
    </row>
  </sheetData>
  <mergeCells count="4">
    <mergeCell ref="A54:C54"/>
    <mergeCell ref="A1:C1"/>
    <mergeCell ref="A2:C2"/>
    <mergeCell ref="A3:C3"/>
  </mergeCells>
  <pageMargins left="0.7" right="0.7" top="0.75" bottom="0.75" header="0.3" footer="0.3"/>
  <pageSetup scale="71" orientation="portrait" r:id="rId1"/>
  <ignoredErrors>
    <ignoredError sqref="B5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8"/>
  <sheetViews>
    <sheetView workbookViewId="0">
      <selection activeCell="F33" sqref="F33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1.5" style="112"/>
    <col min="6" max="16384" width="21.5" style="1"/>
  </cols>
  <sheetData>
    <row r="1" spans="1:5" ht="13.5" customHeight="1" x14ac:dyDescent="0.25">
      <c r="A1" s="303" t="s">
        <v>0</v>
      </c>
      <c r="B1" s="304"/>
      <c r="C1" s="304"/>
    </row>
    <row r="2" spans="1:5" ht="13.5" customHeight="1" x14ac:dyDescent="0.25">
      <c r="A2" s="303" t="s">
        <v>15</v>
      </c>
      <c r="B2" s="304"/>
      <c r="C2" s="304"/>
    </row>
    <row r="3" spans="1:5" ht="13.5" customHeight="1" x14ac:dyDescent="0.25">
      <c r="A3" s="303" t="s">
        <v>16</v>
      </c>
      <c r="B3" s="304"/>
      <c r="C3" s="304"/>
    </row>
    <row r="4" spans="1:5" ht="13.5" customHeight="1" x14ac:dyDescent="0.2">
      <c r="A4" s="3"/>
      <c r="B4" s="3"/>
      <c r="C4" s="3"/>
      <c r="D4" s="3"/>
    </row>
    <row r="5" spans="1:5" s="139" customFormat="1" ht="13.5" customHeight="1" x14ac:dyDescent="0.2">
      <c r="A5" s="138"/>
      <c r="B5" s="218"/>
      <c r="C5" s="218"/>
      <c r="D5" s="138"/>
      <c r="E5" s="112"/>
    </row>
    <row r="6" spans="1:5" ht="13.5" customHeight="1" x14ac:dyDescent="0.2">
      <c r="A6" s="3"/>
      <c r="B6" s="219" t="s">
        <v>168</v>
      </c>
      <c r="C6" s="160" t="s">
        <v>74</v>
      </c>
      <c r="D6" s="3"/>
    </row>
    <row r="7" spans="1:5" ht="13.5" customHeight="1" x14ac:dyDescent="0.2">
      <c r="A7" s="3"/>
      <c r="B7" s="210">
        <v>2017</v>
      </c>
      <c r="C7" s="14">
        <v>2016</v>
      </c>
      <c r="D7" s="3"/>
    </row>
    <row r="8" spans="1:5" ht="13.5" customHeight="1" x14ac:dyDescent="0.2">
      <c r="A8" s="3"/>
      <c r="B8" s="195" t="s">
        <v>4</v>
      </c>
      <c r="C8" s="159"/>
      <c r="D8" s="3"/>
    </row>
    <row r="9" spans="1:5" ht="13.5" customHeight="1" x14ac:dyDescent="0.2">
      <c r="A9" s="5" t="s">
        <v>17</v>
      </c>
      <c r="B9" s="25"/>
      <c r="C9" s="3"/>
      <c r="D9" s="3"/>
    </row>
    <row r="10" spans="1:5" ht="13.5" customHeight="1" x14ac:dyDescent="0.2">
      <c r="A10" s="5" t="s">
        <v>18</v>
      </c>
      <c r="B10" s="25"/>
      <c r="C10" s="3"/>
      <c r="D10" s="3"/>
    </row>
    <row r="11" spans="1:5" ht="13.5" customHeight="1" x14ac:dyDescent="0.2">
      <c r="A11" s="6" t="s">
        <v>19</v>
      </c>
      <c r="B11" s="220">
        <v>333548</v>
      </c>
      <c r="C11" s="79">
        <v>305372</v>
      </c>
      <c r="D11" s="3"/>
    </row>
    <row r="12" spans="1:5" ht="13.5" customHeight="1" x14ac:dyDescent="0.2">
      <c r="A12" s="6" t="s">
        <v>20</v>
      </c>
      <c r="B12" s="29">
        <v>159822</v>
      </c>
      <c r="C12" s="81">
        <v>88072</v>
      </c>
      <c r="D12" s="3"/>
    </row>
    <row r="13" spans="1:5" s="54" customFormat="1" ht="13.5" customHeight="1" x14ac:dyDescent="0.2">
      <c r="A13" s="6" t="s">
        <v>84</v>
      </c>
      <c r="B13" s="29">
        <v>41755</v>
      </c>
      <c r="C13" s="81">
        <v>71050</v>
      </c>
      <c r="D13" s="53"/>
      <c r="E13" s="112"/>
    </row>
    <row r="14" spans="1:5" ht="13.5" customHeight="1" x14ac:dyDescent="0.2">
      <c r="A14" s="6" t="s">
        <v>21</v>
      </c>
      <c r="B14" s="29">
        <v>190256</v>
      </c>
      <c r="C14" s="81">
        <v>184483</v>
      </c>
      <c r="D14" s="3"/>
    </row>
    <row r="15" spans="1:5" ht="13.5" customHeight="1" x14ac:dyDescent="0.2">
      <c r="A15" s="6" t="s">
        <v>22</v>
      </c>
      <c r="B15" s="29">
        <v>21504</v>
      </c>
      <c r="C15" s="81">
        <v>19877</v>
      </c>
      <c r="D15" s="3"/>
    </row>
    <row r="16" spans="1:5" ht="13.5" customHeight="1" x14ac:dyDescent="0.2">
      <c r="A16" s="6" t="s">
        <v>23</v>
      </c>
      <c r="B16" s="29">
        <v>137056</v>
      </c>
      <c r="C16" s="81">
        <v>113462</v>
      </c>
      <c r="D16" s="3"/>
    </row>
    <row r="17" spans="1:6" ht="13.5" hidden="1" customHeight="1" x14ac:dyDescent="0.2">
      <c r="A17" s="6" t="s">
        <v>24</v>
      </c>
      <c r="B17" s="29"/>
      <c r="C17" s="81">
        <v>0</v>
      </c>
      <c r="D17" s="3"/>
    </row>
    <row r="18" spans="1:6" s="36" customFormat="1" ht="13.5" hidden="1" customHeight="1" x14ac:dyDescent="0.2">
      <c r="A18" s="6" t="s">
        <v>26</v>
      </c>
      <c r="B18" s="29"/>
      <c r="C18" s="26">
        <v>0</v>
      </c>
      <c r="D18" s="35"/>
      <c r="E18" s="112"/>
    </row>
    <row r="19" spans="1:6" ht="13.5" hidden="1" customHeight="1" x14ac:dyDescent="0.2">
      <c r="A19" s="6" t="s">
        <v>25</v>
      </c>
      <c r="B19" s="29"/>
      <c r="C19" s="81">
        <v>0</v>
      </c>
      <c r="D19" s="3"/>
    </row>
    <row r="20" spans="1:6" ht="13.5" customHeight="1" x14ac:dyDescent="0.2">
      <c r="A20" s="6" t="s">
        <v>27</v>
      </c>
      <c r="B20" s="82">
        <f>124+53+61297</f>
        <v>61474</v>
      </c>
      <c r="C20" s="83">
        <f>93763+2281+262</f>
        <v>96306</v>
      </c>
      <c r="D20" s="111"/>
    </row>
    <row r="21" spans="1:6" ht="13.5" customHeight="1" x14ac:dyDescent="0.2">
      <c r="A21" s="6" t="s">
        <v>28</v>
      </c>
      <c r="B21" s="221">
        <f>SUM(B11:B20)</f>
        <v>945415</v>
      </c>
      <c r="C21" s="81">
        <f>SUM(C11:C20)</f>
        <v>878622</v>
      </c>
      <c r="D21" s="111"/>
    </row>
    <row r="22" spans="1:6" ht="13.5" customHeight="1" x14ac:dyDescent="0.2">
      <c r="A22" s="3"/>
      <c r="B22" s="190"/>
      <c r="C22" s="80"/>
      <c r="D22" s="3"/>
    </row>
    <row r="23" spans="1:6" ht="13.5" customHeight="1" x14ac:dyDescent="0.2">
      <c r="A23" s="5" t="s">
        <v>29</v>
      </c>
      <c r="B23" s="120">
        <v>1007570</v>
      </c>
      <c r="C23" s="81">
        <v>1053603</v>
      </c>
      <c r="D23" s="3"/>
      <c r="E23" s="116"/>
      <c r="F23" s="192"/>
    </row>
    <row r="24" spans="1:6" ht="13.5" customHeight="1" x14ac:dyDescent="0.2">
      <c r="A24" s="3"/>
      <c r="B24" s="190"/>
      <c r="C24" s="80"/>
      <c r="D24" s="3"/>
    </row>
    <row r="25" spans="1:6" ht="13.5" customHeight="1" x14ac:dyDescent="0.2">
      <c r="A25" s="5" t="s">
        <v>30</v>
      </c>
      <c r="B25" s="190"/>
      <c r="C25" s="80"/>
      <c r="D25" s="3"/>
    </row>
    <row r="26" spans="1:6" ht="13.5" customHeight="1" x14ac:dyDescent="0.2">
      <c r="A26" s="6" t="s">
        <v>31</v>
      </c>
      <c r="B26" s="29">
        <v>104015</v>
      </c>
      <c r="C26" s="81">
        <v>96074</v>
      </c>
      <c r="D26" s="3"/>
    </row>
    <row r="27" spans="1:6" ht="13.5" customHeight="1" x14ac:dyDescent="0.2">
      <c r="A27" s="6" t="s">
        <v>32</v>
      </c>
      <c r="B27" s="82">
        <f>43+6117+4080+64818</f>
        <v>75058</v>
      </c>
      <c r="C27" s="83">
        <v>108298</v>
      </c>
      <c r="D27" s="3"/>
    </row>
    <row r="28" spans="1:6" ht="13.5" customHeight="1" x14ac:dyDescent="0.2">
      <c r="A28" s="9" t="s">
        <v>33</v>
      </c>
      <c r="B28" s="83">
        <f>SUM(B26:B27)</f>
        <v>179073</v>
      </c>
      <c r="C28" s="83">
        <f>SUM(C26:C27)</f>
        <v>204372</v>
      </c>
      <c r="D28" s="3"/>
    </row>
    <row r="29" spans="1:6" ht="13.5" customHeight="1" thickBot="1" x14ac:dyDescent="0.25">
      <c r="A29" s="10" t="s">
        <v>34</v>
      </c>
      <c r="B29" s="84">
        <f>+B28+B23+B21</f>
        <v>2132058</v>
      </c>
      <c r="C29" s="84">
        <f>+C21+C23+C28</f>
        <v>2136597</v>
      </c>
      <c r="D29" s="3"/>
    </row>
    <row r="30" spans="1:6" ht="13.5" customHeight="1" thickTop="1" x14ac:dyDescent="0.2">
      <c r="A30" s="3"/>
      <c r="B30" s="190"/>
      <c r="C30" s="80"/>
      <c r="D30" s="3"/>
    </row>
    <row r="31" spans="1:6" ht="13.5" customHeight="1" x14ac:dyDescent="0.2">
      <c r="A31" s="5" t="s">
        <v>146</v>
      </c>
      <c r="B31" s="190"/>
      <c r="C31" s="80"/>
      <c r="D31" s="3"/>
    </row>
    <row r="32" spans="1:6" ht="13.5" customHeight="1" x14ac:dyDescent="0.2">
      <c r="A32" s="158" t="s">
        <v>97</v>
      </c>
      <c r="B32" s="190"/>
      <c r="C32" s="80"/>
      <c r="D32" s="3"/>
    </row>
    <row r="33" spans="1:4" ht="13.5" customHeight="1" x14ac:dyDescent="0.2">
      <c r="A33" s="6" t="s">
        <v>35</v>
      </c>
      <c r="B33" s="197">
        <f>127057+2</f>
        <v>127059</v>
      </c>
      <c r="C33" s="79">
        <v>95953</v>
      </c>
      <c r="D33" s="3"/>
    </row>
    <row r="34" spans="1:4" ht="13.5" customHeight="1" x14ac:dyDescent="0.2">
      <c r="A34" s="6" t="s">
        <v>36</v>
      </c>
      <c r="B34" s="29">
        <f>169409+124</f>
        <v>169533</v>
      </c>
      <c r="C34" s="81">
        <v>205240</v>
      </c>
      <c r="D34" s="3"/>
    </row>
    <row r="35" spans="1:4" ht="13.5" customHeight="1" x14ac:dyDescent="0.2">
      <c r="A35" s="6" t="s">
        <v>37</v>
      </c>
      <c r="B35" s="83">
        <v>7414</v>
      </c>
      <c r="C35" s="83">
        <v>11038</v>
      </c>
      <c r="D35" s="3"/>
    </row>
    <row r="36" spans="1:4" ht="13.5" customHeight="1" x14ac:dyDescent="0.2">
      <c r="A36" s="9" t="s">
        <v>38</v>
      </c>
      <c r="B36" s="120">
        <f>SUM(B33:B35)</f>
        <v>304006</v>
      </c>
      <c r="C36" s="81">
        <f>SUM(C33:C35)</f>
        <v>312231</v>
      </c>
      <c r="D36" s="3"/>
    </row>
    <row r="37" spans="1:4" ht="13.5" customHeight="1" x14ac:dyDescent="0.2">
      <c r="A37" s="6" t="s">
        <v>39</v>
      </c>
      <c r="B37" s="120">
        <v>315639</v>
      </c>
      <c r="C37" s="81">
        <v>351841</v>
      </c>
      <c r="D37" s="3"/>
    </row>
    <row r="38" spans="1:4" ht="13.5" customHeight="1" x14ac:dyDescent="0.2">
      <c r="A38" s="6" t="s">
        <v>40</v>
      </c>
      <c r="B38" s="29">
        <v>342680</v>
      </c>
      <c r="C38" s="81">
        <v>337227</v>
      </c>
      <c r="D38" s="3"/>
    </row>
    <row r="39" spans="1:4" ht="13.5" customHeight="1" x14ac:dyDescent="0.2">
      <c r="A39" s="6" t="s">
        <v>41</v>
      </c>
      <c r="B39" s="120">
        <v>32092</v>
      </c>
      <c r="C39" s="81">
        <v>38884</v>
      </c>
      <c r="D39" s="3"/>
    </row>
    <row r="40" spans="1:4" ht="13.5" customHeight="1" x14ac:dyDescent="0.2">
      <c r="A40" s="6" t="s">
        <v>42</v>
      </c>
      <c r="B40" s="120">
        <v>101407</v>
      </c>
      <c r="C40" s="81">
        <v>101445</v>
      </c>
      <c r="D40" s="3"/>
    </row>
    <row r="41" spans="1:4" ht="13.5" customHeight="1" x14ac:dyDescent="0.2">
      <c r="A41" s="6" t="s">
        <v>43</v>
      </c>
      <c r="B41" s="120">
        <v>186128</v>
      </c>
      <c r="C41" s="81">
        <v>184568</v>
      </c>
      <c r="D41" s="3"/>
    </row>
    <row r="42" spans="1:4" ht="13.5" hidden="1" customHeight="1" x14ac:dyDescent="0.2">
      <c r="A42" s="6" t="s">
        <v>26</v>
      </c>
      <c r="B42" s="120"/>
      <c r="C42" s="81">
        <v>0</v>
      </c>
      <c r="D42" s="3"/>
    </row>
    <row r="43" spans="1:4" ht="13.5" customHeight="1" x14ac:dyDescent="0.2">
      <c r="A43" s="6" t="s">
        <v>44</v>
      </c>
      <c r="B43" s="82">
        <f>65024+21+3</f>
        <v>65048</v>
      </c>
      <c r="C43" s="83">
        <v>63824</v>
      </c>
      <c r="D43" s="3"/>
    </row>
    <row r="44" spans="1:4" ht="13.5" customHeight="1" x14ac:dyDescent="0.2">
      <c r="A44" s="9" t="s">
        <v>98</v>
      </c>
      <c r="B44" s="120">
        <f>SUM(B36:B43)</f>
        <v>1347000</v>
      </c>
      <c r="C44" s="81">
        <f>SUM(C36:C43)</f>
        <v>1390020</v>
      </c>
      <c r="D44" s="11"/>
    </row>
    <row r="45" spans="1:4" ht="13.5" customHeight="1" x14ac:dyDescent="0.2">
      <c r="A45" s="3"/>
      <c r="B45" s="190"/>
      <c r="C45" s="80"/>
      <c r="D45" s="3"/>
    </row>
    <row r="46" spans="1:4" ht="13.5" customHeight="1" x14ac:dyDescent="0.2">
      <c r="A46" s="5" t="s">
        <v>145</v>
      </c>
      <c r="B46" s="190"/>
      <c r="C46" s="80"/>
      <c r="D46" s="3"/>
    </row>
    <row r="47" spans="1:4" ht="13.5" customHeight="1" x14ac:dyDescent="0.2">
      <c r="A47" s="6" t="s">
        <v>45</v>
      </c>
      <c r="B47" s="120">
        <v>250</v>
      </c>
      <c r="C47" s="81">
        <v>250</v>
      </c>
      <c r="D47" s="3"/>
    </row>
    <row r="48" spans="1:4" ht="13.5" customHeight="1" x14ac:dyDescent="0.2">
      <c r="A48" s="6" t="s">
        <v>46</v>
      </c>
      <c r="B48" s="120">
        <v>694780</v>
      </c>
      <c r="C48" s="81">
        <v>688424</v>
      </c>
      <c r="D48" s="3"/>
    </row>
    <row r="49" spans="1:6" ht="13.5" customHeight="1" x14ac:dyDescent="0.2">
      <c r="A49" s="6" t="s">
        <v>167</v>
      </c>
      <c r="B49" s="29">
        <v>113574</v>
      </c>
      <c r="C49" s="81">
        <v>33449</v>
      </c>
      <c r="D49" s="11"/>
      <c r="F49" s="192"/>
    </row>
    <row r="50" spans="1:6" s="249" customFormat="1" ht="13.5" customHeight="1" x14ac:dyDescent="0.2">
      <c r="A50" s="6" t="s">
        <v>174</v>
      </c>
      <c r="B50" s="29">
        <v>-51043</v>
      </c>
      <c r="C50" s="81">
        <v>0</v>
      </c>
      <c r="D50" s="11"/>
      <c r="E50" s="112"/>
      <c r="F50" s="192"/>
    </row>
    <row r="51" spans="1:6" ht="13.5" customHeight="1" x14ac:dyDescent="0.2">
      <c r="A51" s="6" t="s">
        <v>159</v>
      </c>
      <c r="B51" s="83">
        <v>27497</v>
      </c>
      <c r="C51" s="83">
        <v>24454</v>
      </c>
      <c r="D51" s="111"/>
    </row>
    <row r="52" spans="1:6" ht="13.5" customHeight="1" x14ac:dyDescent="0.2">
      <c r="A52" s="9" t="s">
        <v>160</v>
      </c>
      <c r="B52" s="85">
        <f>SUM(B47:B51)</f>
        <v>785058</v>
      </c>
      <c r="C52" s="85">
        <f>SUM(C47:C51)</f>
        <v>746577</v>
      </c>
      <c r="D52" s="3"/>
    </row>
    <row r="53" spans="1:6" ht="13.5" customHeight="1" thickBot="1" x14ac:dyDescent="0.25">
      <c r="A53" s="10" t="s">
        <v>161</v>
      </c>
      <c r="B53" s="84">
        <f>+B44+B52</f>
        <v>2132058</v>
      </c>
      <c r="C53" s="84">
        <f>+C44+C52</f>
        <v>2136597</v>
      </c>
      <c r="D53" s="3"/>
    </row>
    <row r="54" spans="1:6" ht="13.5" customHeight="1" thickTop="1" x14ac:dyDescent="0.2">
      <c r="A54" s="3"/>
      <c r="B54" s="3"/>
      <c r="C54" s="3"/>
      <c r="D54" s="3"/>
    </row>
    <row r="55" spans="1:6" ht="13.5" customHeight="1" x14ac:dyDescent="0.2">
      <c r="B55" s="43"/>
      <c r="C55" s="43"/>
    </row>
    <row r="56" spans="1:6" ht="13.5" customHeight="1" x14ac:dyDescent="0.2">
      <c r="B56" s="126"/>
      <c r="C56" s="43"/>
    </row>
    <row r="58" spans="1:6" ht="13.5" customHeight="1" x14ac:dyDescent="0.2">
      <c r="B58" s="43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96"/>
  <sheetViews>
    <sheetView workbookViewId="0">
      <selection activeCell="F8" sqref="F8"/>
    </sheetView>
  </sheetViews>
  <sheetFormatPr defaultColWidth="21.5" defaultRowHeight="12.75" x14ac:dyDescent="0.2"/>
  <cols>
    <col min="1" max="1" width="75.6640625" style="23" customWidth="1"/>
    <col min="2" max="2" width="17.5" style="23" customWidth="1"/>
    <col min="3" max="3" width="17.5" style="139" customWidth="1"/>
    <col min="4" max="4" width="21.5" style="23" customWidth="1"/>
    <col min="5" max="16384" width="21.5" style="23"/>
  </cols>
  <sheetData>
    <row r="1" spans="1:23" ht="14.25" customHeight="1" x14ac:dyDescent="0.25">
      <c r="A1" s="303" t="s">
        <v>0</v>
      </c>
      <c r="B1" s="305"/>
      <c r="C1" s="305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4.25" customHeight="1" x14ac:dyDescent="0.25">
      <c r="A2" s="303" t="s">
        <v>73</v>
      </c>
      <c r="B2" s="305"/>
      <c r="C2" s="305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4.25" customHeight="1" x14ac:dyDescent="0.25">
      <c r="A3" s="303" t="s">
        <v>16</v>
      </c>
      <c r="B3" s="305"/>
      <c r="C3" s="305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6.75" customHeight="1" x14ac:dyDescent="0.2">
      <c r="A4" s="22"/>
      <c r="B4" s="21"/>
      <c r="C4" s="138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8.75" customHeight="1" x14ac:dyDescent="0.2">
      <c r="A5" s="21"/>
      <c r="B5" s="21"/>
      <c r="C5" s="138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3.5" customHeight="1" x14ac:dyDescent="0.2">
      <c r="A6" s="21"/>
      <c r="B6" s="156" t="s">
        <v>96</v>
      </c>
      <c r="C6" s="210" t="s">
        <v>95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33.75" x14ac:dyDescent="0.2">
      <c r="A7" s="21"/>
      <c r="B7" s="156" t="s">
        <v>169</v>
      </c>
      <c r="C7" s="210" t="s">
        <v>170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3.5" customHeight="1" x14ac:dyDescent="0.2">
      <c r="A8" s="21"/>
      <c r="B8" s="157" t="s">
        <v>4</v>
      </c>
      <c r="C8" s="195" t="s">
        <v>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3.5" customHeight="1" x14ac:dyDescent="0.2">
      <c r="A9" s="24" t="s">
        <v>72</v>
      </c>
      <c r="B9" s="144"/>
      <c r="C9" s="13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3.5" customHeight="1" x14ac:dyDescent="0.2">
      <c r="A10" s="20" t="s">
        <v>105</v>
      </c>
      <c r="B10" s="162">
        <f>'Statements of Operations'!E40</f>
        <v>88828</v>
      </c>
      <c r="C10" s="78">
        <f>'Statements of Operations'!F40</f>
        <v>-382589</v>
      </c>
      <c r="D10" s="1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3.5" customHeight="1" x14ac:dyDescent="0.2">
      <c r="A11" s="20" t="s">
        <v>71</v>
      </c>
      <c r="B11" s="174"/>
      <c r="C11" s="137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3.5" customHeight="1" x14ac:dyDescent="0.2">
      <c r="A12" s="6" t="s">
        <v>8</v>
      </c>
      <c r="B12" s="163">
        <f>'Statements of Operations'!E14</f>
        <v>62622</v>
      </c>
      <c r="C12" s="26">
        <f>'Statements of Operations'!F14</f>
        <v>122158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139" customFormat="1" ht="13.5" customHeight="1" x14ac:dyDescent="0.2">
      <c r="A13" s="6" t="s">
        <v>100</v>
      </c>
      <c r="B13" s="163">
        <f>'Statements of Operations'!E15</f>
        <v>15246</v>
      </c>
      <c r="C13" s="26">
        <f>'Statements of Operations'!F15</f>
        <v>16356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1:23" ht="13.5" customHeight="1" x14ac:dyDescent="0.2">
      <c r="A14" s="6" t="s">
        <v>112</v>
      </c>
      <c r="B14" s="163">
        <f>'Statements of Operations'!E16</f>
        <v>29042</v>
      </c>
      <c r="C14" s="26">
        <f>'Statements of Operations'!F16</f>
        <v>-832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3.5" customHeight="1" x14ac:dyDescent="0.2">
      <c r="A15" s="6" t="s">
        <v>70</v>
      </c>
      <c r="B15" s="163">
        <v>2288</v>
      </c>
      <c r="C15" s="26">
        <v>1770</v>
      </c>
      <c r="D15" s="1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s="99" customFormat="1" ht="13.5" customHeight="1" x14ac:dyDescent="0.2">
      <c r="A16" s="6" t="s">
        <v>26</v>
      </c>
      <c r="B16" s="163">
        <v>5996</v>
      </c>
      <c r="C16" s="26">
        <v>-418</v>
      </c>
      <c r="D16" s="11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ht="13.5" customHeight="1" x14ac:dyDescent="0.2">
      <c r="A17" s="6" t="s">
        <v>69</v>
      </c>
      <c r="B17" s="163">
        <v>4942</v>
      </c>
      <c r="C17" s="26">
        <v>1435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s="99" customFormat="1" ht="13.5" customHeight="1" x14ac:dyDescent="0.2">
      <c r="A18" s="6" t="s">
        <v>68</v>
      </c>
      <c r="B18" s="163">
        <f>-360-1131-182-332</f>
        <v>-2005</v>
      </c>
      <c r="C18" s="26">
        <v>-6269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s="51" customFormat="1" ht="13.5" customHeight="1" x14ac:dyDescent="0.2">
      <c r="A19" s="6" t="s">
        <v>85</v>
      </c>
      <c r="B19" s="163">
        <v>0</v>
      </c>
      <c r="C19" s="26">
        <v>119194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spans="1:23" s="114" customFormat="1" ht="13.5" customHeight="1" x14ac:dyDescent="0.2">
      <c r="A20" s="62" t="s">
        <v>86</v>
      </c>
      <c r="B20" s="163">
        <v>2061</v>
      </c>
      <c r="C20" s="26">
        <v>2213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spans="1:23" s="93" customFormat="1" ht="13.5" customHeight="1" x14ac:dyDescent="0.2">
      <c r="A21" s="62" t="s">
        <v>91</v>
      </c>
      <c r="B21" s="163">
        <v>0</v>
      </c>
      <c r="C21" s="26">
        <v>-14892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</row>
    <row r="22" spans="1:23" ht="13.5" customHeight="1" x14ac:dyDescent="0.2">
      <c r="A22" s="6" t="s">
        <v>67</v>
      </c>
      <c r="B22" s="163">
        <v>1565</v>
      </c>
      <c r="C22" s="26">
        <v>7657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99" customFormat="1" ht="13.5" hidden="1" customHeight="1" x14ac:dyDescent="0.2">
      <c r="A23" s="6" t="s">
        <v>86</v>
      </c>
      <c r="B23" s="163"/>
      <c r="C23" s="26">
        <v>0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</row>
    <row r="24" spans="1:23" ht="13.5" customHeight="1" x14ac:dyDescent="0.2">
      <c r="A24" s="6" t="s">
        <v>66</v>
      </c>
      <c r="B24" s="174"/>
      <c r="C24" s="2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3.5" customHeight="1" x14ac:dyDescent="0.2">
      <c r="A25" s="9" t="s">
        <v>65</v>
      </c>
      <c r="B25" s="163">
        <v>-3864</v>
      </c>
      <c r="C25" s="26">
        <v>-7776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3.5" customHeight="1" x14ac:dyDescent="0.2">
      <c r="A26" s="9" t="s">
        <v>23</v>
      </c>
      <c r="B26" s="163">
        <v>-23594</v>
      </c>
      <c r="C26" s="26">
        <v>21152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3.5" customHeight="1" x14ac:dyDescent="0.2">
      <c r="A27" s="9" t="s">
        <v>64</v>
      </c>
      <c r="B27" s="163">
        <v>-89</v>
      </c>
      <c r="C27" s="26">
        <v>84160</v>
      </c>
      <c r="D27" s="11"/>
      <c r="E27" s="21"/>
      <c r="F27" s="1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s="101" customFormat="1" ht="13.5" customHeight="1" x14ac:dyDescent="0.2">
      <c r="A28" s="9" t="s">
        <v>151</v>
      </c>
      <c r="B28" s="163">
        <f>-3905+109</f>
        <v>-3796</v>
      </c>
      <c r="C28" s="26">
        <v>-937</v>
      </c>
      <c r="D28" s="11"/>
      <c r="E28" s="100"/>
      <c r="F28" s="11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</row>
    <row r="29" spans="1:23" ht="13.5" customHeight="1" x14ac:dyDescent="0.2">
      <c r="A29" s="32" t="s">
        <v>54</v>
      </c>
      <c r="B29" s="163">
        <f>58+611-32-3369+4362+1563-9700+1559-38+26542+1</f>
        <v>21557</v>
      </c>
      <c r="C29" s="29">
        <v>-22634</v>
      </c>
      <c r="D29" s="1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13.5" customHeight="1" x14ac:dyDescent="0.2">
      <c r="A30" s="28" t="s">
        <v>106</v>
      </c>
      <c r="B30" s="175">
        <f>SUM(B10:B29)</f>
        <v>200799</v>
      </c>
      <c r="C30" s="86">
        <f>SUM(C10:C29)</f>
        <v>-60252</v>
      </c>
      <c r="D30" s="7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13.5" customHeight="1" x14ac:dyDescent="0.2">
      <c r="A31" s="21"/>
      <c r="B31" s="176"/>
      <c r="C31" s="3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13.5" customHeight="1" x14ac:dyDescent="0.2">
      <c r="A32" s="24" t="s">
        <v>63</v>
      </c>
      <c r="B32" s="174"/>
      <c r="C32" s="137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13.5" customHeight="1" x14ac:dyDescent="0.2">
      <c r="A33" s="6" t="s">
        <v>62</v>
      </c>
      <c r="B33" s="163">
        <v>-16922</v>
      </c>
      <c r="C33" s="26">
        <v>-74137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3.5" customHeight="1" x14ac:dyDescent="0.2">
      <c r="A34" s="6" t="s">
        <v>99</v>
      </c>
      <c r="B34" s="163">
        <v>-4211</v>
      </c>
      <c r="C34" s="26">
        <v>-217</v>
      </c>
      <c r="D34" s="21"/>
      <c r="E34" s="1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13.5" customHeight="1" x14ac:dyDescent="0.2">
      <c r="A35" s="6" t="s">
        <v>173</v>
      </c>
      <c r="B35" s="163">
        <f>514+91+1500+2081</f>
        <v>4186</v>
      </c>
      <c r="C35" s="26">
        <v>-3303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13.5" customHeight="1" x14ac:dyDescent="0.2">
      <c r="A36" s="6" t="s">
        <v>61</v>
      </c>
      <c r="B36" s="163">
        <v>-157364</v>
      </c>
      <c r="C36" s="26">
        <v>-98750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13.5" customHeight="1" x14ac:dyDescent="0.2">
      <c r="A37" s="6" t="s">
        <v>60</v>
      </c>
      <c r="B37" s="163">
        <v>85035</v>
      </c>
      <c r="C37" s="26">
        <v>94589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3.5" customHeight="1" x14ac:dyDescent="0.2">
      <c r="A38" s="6" t="s">
        <v>59</v>
      </c>
      <c r="B38" s="163">
        <v>-8934</v>
      </c>
      <c r="C38" s="29">
        <v>-2890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s="101" customFormat="1" ht="13.5" customHeight="1" x14ac:dyDescent="0.2">
      <c r="A39" s="6" t="s">
        <v>87</v>
      </c>
      <c r="B39" s="164">
        <v>29295</v>
      </c>
      <c r="C39" s="82">
        <v>-4695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1:23" ht="13.5" customHeight="1" x14ac:dyDescent="0.2">
      <c r="A40" s="28" t="s">
        <v>156</v>
      </c>
      <c r="B40" s="163">
        <f>SUM(B33:B39)</f>
        <v>-68915</v>
      </c>
      <c r="C40" s="29">
        <f>SUM(C33:C39)</f>
        <v>-89403</v>
      </c>
      <c r="D40" s="1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3.5" customHeight="1" x14ac:dyDescent="0.2">
      <c r="A41" s="21"/>
      <c r="B41" s="174"/>
      <c r="C41" s="137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13.5" customHeight="1" x14ac:dyDescent="0.2">
      <c r="A42" s="24" t="s">
        <v>58</v>
      </c>
      <c r="B42" s="174"/>
      <c r="C42" s="13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230" customFormat="1" ht="13.5" customHeight="1" x14ac:dyDescent="0.2">
      <c r="A43" s="6" t="s">
        <v>155</v>
      </c>
      <c r="B43" s="165">
        <v>298500</v>
      </c>
      <c r="C43" s="26">
        <v>0</v>
      </c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</row>
    <row r="44" spans="1:23" ht="13.5" customHeight="1" x14ac:dyDescent="0.2">
      <c r="A44" s="6" t="s">
        <v>154</v>
      </c>
      <c r="B44" s="163">
        <v>-325684</v>
      </c>
      <c r="C44" s="26">
        <v>0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55" customFormat="1" ht="13.5" customHeight="1" x14ac:dyDescent="0.2">
      <c r="A45" s="6" t="s">
        <v>175</v>
      </c>
      <c r="B45" s="163">
        <v>-750</v>
      </c>
      <c r="C45" s="26">
        <v>0</v>
      </c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3" ht="13.5" customHeight="1" x14ac:dyDescent="0.2">
      <c r="A46" s="6" t="s">
        <v>57</v>
      </c>
      <c r="B46" s="163">
        <v>-5207</v>
      </c>
      <c r="C46" s="26">
        <v>-10293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s="139" customFormat="1" ht="13.5" customHeight="1" x14ac:dyDescent="0.2">
      <c r="A47" s="6" t="s">
        <v>56</v>
      </c>
      <c r="B47" s="163">
        <v>-8900</v>
      </c>
      <c r="C47" s="26">
        <v>-18806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90" customFormat="1" ht="13.5" customHeight="1" x14ac:dyDescent="0.2">
      <c r="A48" s="62" t="s">
        <v>86</v>
      </c>
      <c r="B48" s="163">
        <v>-2061</v>
      </c>
      <c r="C48" s="29">
        <v>-2213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</row>
    <row r="49" spans="1:23" ht="13.5" customHeight="1" x14ac:dyDescent="0.2">
      <c r="A49" s="6" t="s">
        <v>55</v>
      </c>
      <c r="B49" s="163">
        <v>-8563</v>
      </c>
      <c r="C49" s="29">
        <v>0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s="34" customFormat="1" ht="13.5" customHeight="1" x14ac:dyDescent="0.2">
      <c r="A50" s="6" t="s">
        <v>176</v>
      </c>
      <c r="B50" s="164">
        <v>-51043</v>
      </c>
      <c r="C50" s="82">
        <v>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s="57" customFormat="1" ht="13.5" hidden="1" customHeight="1" x14ac:dyDescent="0.2">
      <c r="A51" s="6" t="s">
        <v>54</v>
      </c>
      <c r="B51" s="164"/>
      <c r="C51" s="82">
        <v>0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pans="1:23" ht="13.5" customHeight="1" x14ac:dyDescent="0.2">
      <c r="A52" s="9" t="s">
        <v>157</v>
      </c>
      <c r="B52" s="164">
        <f>SUM(B43:B51)</f>
        <v>-103708</v>
      </c>
      <c r="C52" s="82">
        <f>SUM(C43:C51)</f>
        <v>-31312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3.5" customHeight="1" x14ac:dyDescent="0.2">
      <c r="A53" s="21"/>
      <c r="B53" s="174"/>
      <c r="C53" s="13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3.5" customHeight="1" x14ac:dyDescent="0.2">
      <c r="A54" s="20" t="s">
        <v>107</v>
      </c>
      <c r="B54" s="163">
        <f>+B52+B40+B30</f>
        <v>28176</v>
      </c>
      <c r="C54" s="26">
        <f>+C52+C40+C30</f>
        <v>-180967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13.5" customHeight="1" x14ac:dyDescent="0.2">
      <c r="A55" s="20" t="s">
        <v>53</v>
      </c>
      <c r="B55" s="164">
        <v>305372</v>
      </c>
      <c r="C55" s="82">
        <v>450781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3.5" customHeight="1" x14ac:dyDescent="0.2">
      <c r="A56" s="21"/>
      <c r="B56" s="174"/>
      <c r="C56" s="137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3.5" customHeight="1" thickBot="1" x14ac:dyDescent="0.25">
      <c r="A57" s="20" t="s">
        <v>52</v>
      </c>
      <c r="B57" s="154">
        <f>+B54+B55</f>
        <v>333548</v>
      </c>
      <c r="C57" s="74">
        <f>+C54+C55</f>
        <v>269814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18.75" customHeight="1" thickTop="1" x14ac:dyDescent="0.2">
      <c r="A58" s="21"/>
      <c r="B58" s="75"/>
      <c r="C58" s="138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18.75" customHeight="1" x14ac:dyDescent="0.2">
      <c r="A59" s="21"/>
      <c r="B59" s="75"/>
      <c r="C59" s="138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8.75" customHeight="1" x14ac:dyDescent="0.2">
      <c r="A60" s="21"/>
      <c r="B60" s="91"/>
      <c r="C60" s="138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8.75" customHeight="1" x14ac:dyDescent="0.2">
      <c r="A61" s="21"/>
      <c r="B61" s="91"/>
      <c r="C61" s="138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18.75" customHeight="1" x14ac:dyDescent="0.2">
      <c r="A62" s="21"/>
      <c r="B62" s="91"/>
      <c r="C62" s="9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18.75" customHeight="1" x14ac:dyDescent="0.2">
      <c r="A63" s="21"/>
      <c r="B63" s="91"/>
      <c r="C63" s="9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8.75" customHeight="1" x14ac:dyDescent="0.2">
      <c r="A64" s="21"/>
      <c r="B64" s="75"/>
      <c r="C64" s="137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18.75" customHeight="1" x14ac:dyDescent="0.2">
      <c r="A65" s="21"/>
      <c r="B65" s="75"/>
      <c r="C65" s="137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18.75" customHeight="1" x14ac:dyDescent="0.2">
      <c r="A66" s="21"/>
      <c r="B66" s="75"/>
      <c r="C66" s="137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18.75" customHeight="1" x14ac:dyDescent="0.2">
      <c r="A67" s="21"/>
      <c r="B67" s="75"/>
      <c r="C67" s="137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18.75" customHeight="1" x14ac:dyDescent="0.2">
      <c r="A68" s="21"/>
      <c r="B68" s="75"/>
      <c r="C68" s="137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18.75" customHeight="1" x14ac:dyDescent="0.2">
      <c r="A69" s="21"/>
      <c r="B69" s="75"/>
      <c r="C69" s="137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8.75" customHeight="1" x14ac:dyDescent="0.2">
      <c r="A70" s="21"/>
      <c r="B70" s="75"/>
      <c r="C70" s="137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8.75" customHeight="1" x14ac:dyDescent="0.2">
      <c r="A71" s="21"/>
      <c r="B71" s="75"/>
      <c r="C71" s="137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8.75" customHeight="1" x14ac:dyDescent="0.2">
      <c r="A72" s="21"/>
      <c r="B72" s="75"/>
      <c r="C72" s="137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8.75" customHeight="1" x14ac:dyDescent="0.2">
      <c r="A73" s="21"/>
      <c r="B73" s="75"/>
      <c r="C73" s="137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8.75" customHeight="1" x14ac:dyDescent="0.2">
      <c r="A74" s="21"/>
      <c r="B74" s="75"/>
      <c r="C74" s="137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8.75" customHeight="1" x14ac:dyDescent="0.2">
      <c r="A75" s="21"/>
      <c r="B75" s="75"/>
      <c r="C75" s="137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8.75" customHeight="1" x14ac:dyDescent="0.2">
      <c r="A76" s="21"/>
      <c r="B76" s="21"/>
      <c r="C76" s="138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8.75" customHeight="1" x14ac:dyDescent="0.2">
      <c r="A77" s="21"/>
      <c r="B77" s="21"/>
      <c r="C77" s="138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18.75" customHeight="1" x14ac:dyDescent="0.2">
      <c r="A78" s="21"/>
      <c r="B78" s="21"/>
      <c r="C78" s="13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18.75" customHeight="1" x14ac:dyDescent="0.2">
      <c r="A79" s="21"/>
      <c r="B79" s="21"/>
      <c r="C79" s="138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18.75" customHeight="1" x14ac:dyDescent="0.2">
      <c r="A80" s="21"/>
      <c r="B80" s="21"/>
      <c r="C80" s="138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8.75" customHeight="1" x14ac:dyDescent="0.2">
      <c r="A81" s="21"/>
      <c r="B81" s="21"/>
      <c r="C81" s="138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18.75" customHeight="1" x14ac:dyDescent="0.2">
      <c r="A82" s="21"/>
      <c r="B82" s="21"/>
      <c r="C82" s="138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8.75" customHeight="1" x14ac:dyDescent="0.2">
      <c r="A83" s="21"/>
      <c r="B83" s="21"/>
      <c r="C83" s="138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8.75" customHeight="1" x14ac:dyDescent="0.2">
      <c r="A84" s="21"/>
      <c r="B84" s="21"/>
      <c r="C84" s="138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8.75" customHeight="1" x14ac:dyDescent="0.2">
      <c r="A85" s="21"/>
      <c r="B85" s="21"/>
      <c r="C85" s="138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8.75" customHeight="1" x14ac:dyDescent="0.2">
      <c r="A86" s="21"/>
      <c r="B86" s="21"/>
      <c r="C86" s="138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8.75" customHeight="1" x14ac:dyDescent="0.2">
      <c r="A87" s="21"/>
      <c r="B87" s="21"/>
      <c r="C87" s="138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8.75" customHeight="1" x14ac:dyDescent="0.2">
      <c r="A88" s="21"/>
      <c r="B88" s="21"/>
      <c r="C88" s="13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8.75" customHeight="1" x14ac:dyDescent="0.2">
      <c r="A89" s="21"/>
      <c r="B89" s="21"/>
      <c r="C89" s="138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8.75" customHeight="1" x14ac:dyDescent="0.2">
      <c r="A90" s="21"/>
      <c r="B90" s="21"/>
      <c r="C90" s="138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8.75" customHeight="1" x14ac:dyDescent="0.2">
      <c r="A91" s="21"/>
      <c r="B91" s="21"/>
      <c r="C91" s="138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8.75" customHeight="1" x14ac:dyDescent="0.2">
      <c r="A92" s="21"/>
      <c r="B92" s="21"/>
      <c r="C92" s="138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8.75" customHeight="1" x14ac:dyDescent="0.2">
      <c r="A93" s="21"/>
      <c r="B93" s="21"/>
      <c r="C93" s="138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8.75" customHeight="1" x14ac:dyDescent="0.2">
      <c r="A94" s="21"/>
      <c r="B94" s="21"/>
      <c r="C94" s="138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8.75" customHeight="1" x14ac:dyDescent="0.2">
      <c r="A95" s="21"/>
      <c r="B95" s="21"/>
      <c r="C95" s="138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18.75" customHeight="1" x14ac:dyDescent="0.2">
      <c r="A96" s="21"/>
      <c r="B96" s="21"/>
      <c r="C96" s="138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</sheetData>
  <mergeCells count="3">
    <mergeCell ref="A1:C1"/>
    <mergeCell ref="A2:C2"/>
    <mergeCell ref="A3:C3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F96"/>
  <sheetViews>
    <sheetView workbookViewId="0">
      <selection activeCell="A10" sqref="A10"/>
    </sheetView>
  </sheetViews>
  <sheetFormatPr defaultColWidth="21.5" defaultRowHeight="12.75" x14ac:dyDescent="0.2"/>
  <cols>
    <col min="1" max="1" width="73" style="37" customWidth="1"/>
    <col min="2" max="2" width="2.1640625" style="37" customWidth="1"/>
    <col min="3" max="4" width="15.83203125" style="37" customWidth="1"/>
    <col min="5" max="16384" width="21.5" style="37"/>
  </cols>
  <sheetData>
    <row r="1" spans="1:6" ht="13.5" customHeight="1" x14ac:dyDescent="0.25">
      <c r="A1" s="306" t="s">
        <v>0</v>
      </c>
      <c r="B1" s="307"/>
      <c r="C1" s="307"/>
      <c r="D1" s="307"/>
    </row>
    <row r="2" spans="1:6" ht="13.5" customHeight="1" x14ac:dyDescent="0.25">
      <c r="A2" s="306" t="s">
        <v>76</v>
      </c>
      <c r="B2" s="307"/>
      <c r="C2" s="307"/>
      <c r="D2" s="307"/>
    </row>
    <row r="3" spans="1:6" ht="13.5" customHeight="1" x14ac:dyDescent="0.25">
      <c r="A3" s="306" t="s">
        <v>16</v>
      </c>
      <c r="B3" s="307"/>
      <c r="C3" s="307"/>
      <c r="D3" s="307"/>
    </row>
    <row r="4" spans="1:6" ht="6" customHeight="1" x14ac:dyDescent="0.2"/>
    <row r="5" spans="1:6" ht="18.75" customHeight="1" x14ac:dyDescent="0.2">
      <c r="A5" s="40"/>
      <c r="B5" s="40"/>
      <c r="C5" s="219" t="s">
        <v>168</v>
      </c>
      <c r="D5" s="171" t="s">
        <v>77</v>
      </c>
    </row>
    <row r="6" spans="1:6" ht="12.75" customHeight="1" x14ac:dyDescent="0.2">
      <c r="A6" s="40"/>
      <c r="B6" s="40"/>
      <c r="C6" s="210">
        <v>2017</v>
      </c>
      <c r="D6" s="41">
        <v>2016</v>
      </c>
    </row>
    <row r="7" spans="1:6" ht="18.75" customHeight="1" x14ac:dyDescent="0.2">
      <c r="A7" s="40"/>
      <c r="B7" s="40"/>
      <c r="C7" s="222" t="s">
        <v>4</v>
      </c>
      <c r="D7" s="170"/>
    </row>
    <row r="8" spans="1:6" ht="18.75" customHeight="1" x14ac:dyDescent="0.2">
      <c r="A8" s="40"/>
      <c r="B8" s="40"/>
      <c r="C8" s="223"/>
      <c r="D8" s="44"/>
    </row>
    <row r="9" spans="1:6" s="230" customFormat="1" ht="18.75" customHeight="1" x14ac:dyDescent="0.2">
      <c r="A9" s="229" t="s">
        <v>180</v>
      </c>
      <c r="B9" s="231"/>
      <c r="C9" s="224">
        <v>297808</v>
      </c>
      <c r="D9" s="216">
        <v>0</v>
      </c>
    </row>
    <row r="10" spans="1:6" s="139" customFormat="1" ht="18.75" customHeight="1" x14ac:dyDescent="0.2">
      <c r="A10" s="138" t="s">
        <v>152</v>
      </c>
      <c r="B10" s="140"/>
      <c r="C10" s="232">
        <v>0</v>
      </c>
      <c r="D10" s="233">
        <v>325684</v>
      </c>
      <c r="F10" s="58"/>
    </row>
    <row r="11" spans="1:6" ht="13.5" customHeight="1" x14ac:dyDescent="0.2">
      <c r="A11" s="42" t="s">
        <v>54</v>
      </c>
      <c r="B11" s="40"/>
      <c r="C11" s="225">
        <f>1092+68+30183+723-1</f>
        <v>32065</v>
      </c>
      <c r="D11" s="110">
        <v>37195</v>
      </c>
    </row>
    <row r="12" spans="1:6" s="105" customFormat="1" ht="13.5" customHeight="1" x14ac:dyDescent="0.2">
      <c r="A12" s="107" t="s">
        <v>89</v>
      </c>
      <c r="B12" s="106"/>
      <c r="C12" s="226">
        <v>-6820</v>
      </c>
      <c r="D12" s="48">
        <v>0</v>
      </c>
    </row>
    <row r="13" spans="1:6" ht="13.5" customHeight="1" x14ac:dyDescent="0.2">
      <c r="A13" s="40"/>
      <c r="B13" s="40"/>
      <c r="C13" s="46">
        <f>SUM(C9:C12)</f>
        <v>323053</v>
      </c>
      <c r="D13" s="46">
        <f>SUM(D9:D12)</f>
        <v>362879</v>
      </c>
    </row>
    <row r="14" spans="1:6" ht="13.5" customHeight="1" x14ac:dyDescent="0.2">
      <c r="A14" s="308" t="s">
        <v>78</v>
      </c>
      <c r="B14" s="309"/>
      <c r="C14" s="110">
        <v>7414</v>
      </c>
      <c r="D14" s="46">
        <v>11038</v>
      </c>
    </row>
    <row r="15" spans="1:6" ht="13.5" customHeight="1" thickBot="1" x14ac:dyDescent="0.25">
      <c r="A15" s="42" t="s">
        <v>39</v>
      </c>
      <c r="B15" s="40"/>
      <c r="C15" s="49">
        <f>C13-C14</f>
        <v>315639</v>
      </c>
      <c r="D15" s="49">
        <f>D13-D14</f>
        <v>351841</v>
      </c>
    </row>
    <row r="16" spans="1:6" ht="13.5" customHeight="1" thickTop="1" x14ac:dyDescent="0.2">
      <c r="A16" s="40"/>
      <c r="B16" s="40"/>
      <c r="C16" s="223"/>
      <c r="D16" s="119"/>
    </row>
    <row r="17" spans="1:4" ht="13.5" customHeight="1" x14ac:dyDescent="0.2">
      <c r="A17" s="42" t="s">
        <v>79</v>
      </c>
      <c r="C17" s="204"/>
      <c r="D17" s="47"/>
    </row>
    <row r="18" spans="1:4" ht="13.5" customHeight="1" x14ac:dyDescent="0.2">
      <c r="A18" s="107" t="s">
        <v>90</v>
      </c>
      <c r="C18" s="227">
        <f>C13-C12</f>
        <v>329873</v>
      </c>
      <c r="D18" s="45">
        <f>D13-D12</f>
        <v>362879</v>
      </c>
    </row>
    <row r="19" spans="1:4" ht="13.5" customHeight="1" x14ac:dyDescent="0.2">
      <c r="A19" s="42" t="s">
        <v>80</v>
      </c>
      <c r="C19" s="228"/>
      <c r="D19" s="47"/>
    </row>
    <row r="20" spans="1:4" ht="13.5" customHeight="1" x14ac:dyDescent="0.2">
      <c r="A20" s="42" t="s">
        <v>19</v>
      </c>
      <c r="C20" s="110">
        <f>'Balance Sheet'!B11</f>
        <v>333548</v>
      </c>
      <c r="D20" s="46">
        <f>'Balance Sheet'!C11</f>
        <v>305372</v>
      </c>
    </row>
    <row r="21" spans="1:4" ht="13.5" customHeight="1" x14ac:dyDescent="0.2">
      <c r="A21" s="42" t="s">
        <v>20</v>
      </c>
      <c r="C21" s="48">
        <f>'Balance Sheet'!B12</f>
        <v>159822</v>
      </c>
      <c r="D21" s="48">
        <f>'Balance Sheet'!C12</f>
        <v>88072</v>
      </c>
    </row>
    <row r="22" spans="1:4" ht="13.5" customHeight="1" x14ac:dyDescent="0.2">
      <c r="A22" s="40"/>
      <c r="C22" s="110">
        <f>+C20+C21</f>
        <v>493370</v>
      </c>
      <c r="D22" s="46">
        <f>+D20+D21</f>
        <v>393444</v>
      </c>
    </row>
    <row r="23" spans="1:4" ht="13.5" customHeight="1" thickBot="1" x14ac:dyDescent="0.25">
      <c r="A23" s="42" t="s">
        <v>81</v>
      </c>
      <c r="C23" s="49">
        <f>+C18-C22</f>
        <v>-163497</v>
      </c>
      <c r="D23" s="49">
        <f>+D18-D22</f>
        <v>-30565</v>
      </c>
    </row>
    <row r="24" spans="1:4" ht="18.75" customHeight="1" thickTop="1" x14ac:dyDescent="0.2">
      <c r="C24" s="47"/>
      <c r="D24" s="47"/>
    </row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</sheetData>
  <mergeCells count="4">
    <mergeCell ref="A1:D1"/>
    <mergeCell ref="A2:D2"/>
    <mergeCell ref="A3:D3"/>
    <mergeCell ref="A14:B14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65"/>
  <sheetViews>
    <sheetView workbookViewId="0">
      <selection activeCell="E6" sqref="E6:F6"/>
    </sheetView>
  </sheetViews>
  <sheetFormatPr defaultRowHeight="12.75" x14ac:dyDescent="0.2"/>
  <cols>
    <col min="1" max="1" width="60.1640625" style="262" customWidth="1"/>
    <col min="2" max="2" width="14.33203125" style="262" customWidth="1"/>
    <col min="3" max="3" width="9.33203125" style="262"/>
    <col min="4" max="4" width="4.33203125" style="262" customWidth="1"/>
    <col min="5" max="5" width="14.33203125" style="262" customWidth="1"/>
    <col min="6" max="6" width="9.33203125" style="262"/>
    <col min="7" max="7" width="1.5" style="262" customWidth="1"/>
    <col min="8" max="8" width="14.33203125" style="262" customWidth="1"/>
    <col min="9" max="9" width="9.33203125" style="262"/>
    <col min="10" max="10" width="4.33203125" style="262" customWidth="1"/>
    <col min="11" max="11" width="14.33203125" style="262" customWidth="1"/>
    <col min="12" max="16384" width="9.33203125" style="262"/>
  </cols>
  <sheetData>
    <row r="1" spans="1:12" ht="15.75" x14ac:dyDescent="0.25">
      <c r="A1" s="314" t="s">
        <v>0</v>
      </c>
      <c r="B1" s="314"/>
      <c r="C1" s="315"/>
      <c r="D1" s="316"/>
      <c r="E1" s="317"/>
      <c r="F1" s="317"/>
      <c r="G1" s="260"/>
      <c r="H1" s="261"/>
    </row>
    <row r="2" spans="1:12" ht="15.75" x14ac:dyDescent="0.25">
      <c r="A2" s="314" t="s">
        <v>124</v>
      </c>
      <c r="B2" s="314"/>
      <c r="C2" s="315"/>
      <c r="D2" s="316"/>
      <c r="E2" s="316"/>
      <c r="F2" s="315"/>
      <c r="G2" s="260"/>
      <c r="H2" s="261"/>
    </row>
    <row r="3" spans="1:12" ht="15.75" x14ac:dyDescent="0.25">
      <c r="A3" s="314" t="s">
        <v>125</v>
      </c>
      <c r="B3" s="314"/>
      <c r="C3" s="315"/>
      <c r="D3" s="316"/>
      <c r="E3" s="316"/>
      <c r="F3" s="315"/>
      <c r="G3" s="260"/>
      <c r="H3" s="261"/>
    </row>
    <row r="4" spans="1:12" x14ac:dyDescent="0.2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</row>
    <row r="5" spans="1:12" x14ac:dyDescent="0.2">
      <c r="A5" s="260"/>
      <c r="B5" s="312" t="s">
        <v>96</v>
      </c>
      <c r="C5" s="313"/>
      <c r="D5" s="312" t="s">
        <v>95</v>
      </c>
      <c r="E5" s="312"/>
      <c r="F5" s="312"/>
      <c r="G5" s="260"/>
      <c r="H5" s="312" t="s">
        <v>96</v>
      </c>
      <c r="I5" s="313"/>
      <c r="J5" s="312" t="s">
        <v>95</v>
      </c>
      <c r="K5" s="312"/>
      <c r="L5" s="312"/>
    </row>
    <row r="6" spans="1:12" ht="25.5" customHeight="1" x14ac:dyDescent="0.2">
      <c r="A6" s="260"/>
      <c r="B6" s="310" t="s">
        <v>183</v>
      </c>
      <c r="C6" s="311"/>
      <c r="D6" s="263" t="s">
        <v>3</v>
      </c>
      <c r="E6" s="310" t="s">
        <v>184</v>
      </c>
      <c r="F6" s="310"/>
      <c r="G6" s="260"/>
      <c r="H6" s="310" t="s">
        <v>181</v>
      </c>
      <c r="I6" s="311"/>
      <c r="J6" s="263" t="s">
        <v>3</v>
      </c>
      <c r="K6" s="310" t="s">
        <v>182</v>
      </c>
      <c r="L6" s="310"/>
    </row>
    <row r="7" spans="1:12" x14ac:dyDescent="0.2">
      <c r="A7" s="260"/>
      <c r="B7" s="264" t="s">
        <v>4</v>
      </c>
      <c r="C7" s="265"/>
      <c r="D7" s="266"/>
      <c r="E7" s="264" t="s">
        <v>4</v>
      </c>
      <c r="F7" s="266"/>
      <c r="G7" s="267"/>
      <c r="H7" s="264" t="s">
        <v>4</v>
      </c>
      <c r="I7" s="265"/>
      <c r="J7" s="266"/>
      <c r="K7" s="264" t="s">
        <v>4</v>
      </c>
      <c r="L7" s="266"/>
    </row>
    <row r="8" spans="1:12" ht="12.75" customHeight="1" x14ac:dyDescent="0.2">
      <c r="A8" s="268" t="s">
        <v>126</v>
      </c>
      <c r="B8" s="269"/>
      <c r="C8" s="270"/>
      <c r="D8" s="271"/>
      <c r="E8" s="272"/>
      <c r="F8" s="272"/>
      <c r="G8" s="260"/>
      <c r="H8" s="269"/>
      <c r="I8" s="270"/>
      <c r="J8" s="271"/>
      <c r="K8" s="272"/>
      <c r="L8" s="272"/>
    </row>
    <row r="9" spans="1:12" ht="12.75" customHeight="1" x14ac:dyDescent="0.2">
      <c r="A9" s="273" t="s">
        <v>127</v>
      </c>
      <c r="B9" s="242">
        <f>'[1]Cash Margin to EBITDA recon'!AN12/1000</f>
        <v>18.091814760000002</v>
      </c>
      <c r="C9" s="274"/>
      <c r="D9" s="275"/>
      <c r="E9" s="239">
        <f>'[1]Cash Margin to EBITDA recon'!AI12/1000</f>
        <v>15.638571169999999</v>
      </c>
      <c r="F9" s="238"/>
      <c r="G9" s="260"/>
      <c r="H9" s="242">
        <f>SUM('[1]Cash Margin to EBITDA recon'!AM12:AN12)/1000</f>
        <v>39.417761880000008</v>
      </c>
      <c r="I9" s="274"/>
      <c r="J9" s="275"/>
      <c r="K9" s="242">
        <f>SUM('[1]Cash Margin to EBITDA recon'!AH12:AI12)/1000</f>
        <v>32.144321150000003</v>
      </c>
      <c r="L9" s="238"/>
    </row>
    <row r="10" spans="1:12" ht="12.75" customHeight="1" x14ac:dyDescent="0.2">
      <c r="A10" s="273"/>
      <c r="B10" s="234"/>
      <c r="C10" s="276"/>
      <c r="D10" s="238"/>
      <c r="E10" s="238"/>
      <c r="F10" s="238"/>
      <c r="G10" s="260"/>
      <c r="H10" s="234"/>
      <c r="I10" s="276"/>
      <c r="J10" s="238"/>
      <c r="K10" s="234"/>
      <c r="L10" s="238"/>
    </row>
    <row r="11" spans="1:12" ht="12.75" customHeight="1" x14ac:dyDescent="0.2">
      <c r="A11" s="273" t="s">
        <v>128</v>
      </c>
      <c r="B11" s="235">
        <f>[1]Reconciliations!Q14/1000</f>
        <v>227.07912070999998</v>
      </c>
      <c r="C11" s="277">
        <f>ROUND(B11/B9,2)</f>
        <v>12.55</v>
      </c>
      <c r="D11" s="278"/>
      <c r="E11" s="240">
        <f>[1]Reconciliations!L14/1000</f>
        <v>204.50660117000001</v>
      </c>
      <c r="F11" s="279">
        <f>ROUND(E11/E9,2)</f>
        <v>13.08</v>
      </c>
      <c r="G11" s="260"/>
      <c r="H11" s="235">
        <f>SUM([1]Reconciliations!P14:Q14)/1000</f>
        <v>495.16678078999996</v>
      </c>
      <c r="I11" s="277">
        <f>ROUND(H11/H9,2)</f>
        <v>12.56</v>
      </c>
      <c r="J11" s="278"/>
      <c r="K11" s="235">
        <f>SUM([1]Reconciliations!K14:L14)/1000</f>
        <v>422.97451217000003</v>
      </c>
      <c r="L11" s="279">
        <f>ROUND(K11/K9,2)</f>
        <v>13.16</v>
      </c>
    </row>
    <row r="12" spans="1:12" ht="12.75" customHeight="1" x14ac:dyDescent="0.2">
      <c r="A12" s="273" t="s">
        <v>129</v>
      </c>
      <c r="B12" s="241">
        <f>[1]Reconciliations!Q31/1000</f>
        <v>195.66518846</v>
      </c>
      <c r="C12" s="280">
        <f>ROUND(B12/B9,2)</f>
        <v>10.82</v>
      </c>
      <c r="D12" s="278"/>
      <c r="E12" s="241">
        <f>[1]Reconciliations!L31/1000</f>
        <v>183.21779555999998</v>
      </c>
      <c r="F12" s="281">
        <f>ROUND(E12/E9,2)</f>
        <v>11.72</v>
      </c>
      <c r="G12" s="260"/>
      <c r="H12" s="241">
        <f>SUM([1]Reconciliations!P31:Q31)/1000</f>
        <v>416.03613702000001</v>
      </c>
      <c r="I12" s="280">
        <f>ROUND(H12/H9,2)</f>
        <v>10.55</v>
      </c>
      <c r="J12" s="278"/>
      <c r="K12" s="241">
        <f>SUM([1]Reconciliations!K31:L31)/1000</f>
        <v>388.91082426000003</v>
      </c>
      <c r="L12" s="281">
        <f>ROUND(K12/K9,2)</f>
        <v>12.1</v>
      </c>
    </row>
    <row r="13" spans="1:12" ht="12.75" customHeight="1" x14ac:dyDescent="0.2">
      <c r="A13" s="273" t="s">
        <v>130</v>
      </c>
      <c r="B13" s="242">
        <f>B11-B12</f>
        <v>31.413932249999988</v>
      </c>
      <c r="C13" s="282">
        <f>C11-C12</f>
        <v>1.7300000000000004</v>
      </c>
      <c r="D13" s="278"/>
      <c r="E13" s="242">
        <f>E11-E12</f>
        <v>21.288805610000026</v>
      </c>
      <c r="F13" s="283">
        <f>F11-F12</f>
        <v>1.3599999999999994</v>
      </c>
      <c r="G13" s="260"/>
      <c r="H13" s="242">
        <f>H11-H12</f>
        <v>79.130643769999949</v>
      </c>
      <c r="I13" s="282">
        <f>I11-I12</f>
        <v>2.0099999999999998</v>
      </c>
      <c r="J13" s="278"/>
      <c r="K13" s="242">
        <f>K11-K12</f>
        <v>34.063687909999999</v>
      </c>
      <c r="L13" s="283">
        <f>L11-L12</f>
        <v>1.0600000000000005</v>
      </c>
    </row>
    <row r="14" spans="1:12" ht="12.75" customHeight="1" x14ac:dyDescent="0.2">
      <c r="A14" s="273"/>
      <c r="B14" s="234"/>
      <c r="C14" s="276"/>
      <c r="D14" s="278"/>
      <c r="E14" s="234"/>
      <c r="F14" s="234"/>
      <c r="G14" s="260"/>
      <c r="H14" s="234"/>
      <c r="I14" s="276"/>
      <c r="J14" s="278"/>
      <c r="K14" s="234"/>
      <c r="L14" s="234"/>
    </row>
    <row r="15" spans="1:12" ht="12.75" customHeight="1" x14ac:dyDescent="0.2">
      <c r="A15" s="268" t="s">
        <v>131</v>
      </c>
      <c r="B15" s="269"/>
      <c r="C15" s="270"/>
      <c r="D15" s="271"/>
      <c r="E15" s="272"/>
      <c r="F15" s="272"/>
      <c r="G15" s="260"/>
      <c r="H15" s="269"/>
      <c r="I15" s="270"/>
      <c r="J15" s="271"/>
      <c r="K15" s="272"/>
      <c r="L15" s="272"/>
    </row>
    <row r="16" spans="1:12" ht="12.75" customHeight="1" x14ac:dyDescent="0.2">
      <c r="A16" s="273" t="s">
        <v>127</v>
      </c>
      <c r="B16" s="242">
        <f>'[1]Cash Margin to EBITDA recon'!AN24/1000</f>
        <v>2.1041904599999999</v>
      </c>
      <c r="C16" s="276"/>
      <c r="D16" s="278"/>
      <c r="E16" s="239">
        <f>'[1]Cash Margin to EBITDA recon'!AI24/1000</f>
        <v>2.30695366</v>
      </c>
      <c r="F16" s="238"/>
      <c r="G16" s="260"/>
      <c r="H16" s="242">
        <f>SUM('[1]Cash Margin to EBITDA recon'!AM24:AN24)/1000</f>
        <v>4.1639227300000003</v>
      </c>
      <c r="I16" s="276"/>
      <c r="J16" s="278"/>
      <c r="K16" s="242">
        <f>SUM('[1]Cash Margin to EBITDA recon'!AH24:AI24)/1000</f>
        <v>4.4715283600000006</v>
      </c>
      <c r="L16" s="238"/>
    </row>
    <row r="17" spans="1:12" ht="12.75" customHeight="1" x14ac:dyDescent="0.2">
      <c r="A17" s="273"/>
      <c r="B17" s="234"/>
      <c r="C17" s="276"/>
      <c r="D17" s="238"/>
      <c r="E17" s="238"/>
      <c r="F17" s="238"/>
      <c r="G17" s="260"/>
      <c r="H17" s="234"/>
      <c r="I17" s="276"/>
      <c r="J17" s="238"/>
      <c r="K17" s="234"/>
      <c r="L17" s="238"/>
    </row>
    <row r="18" spans="1:12" ht="12.75" customHeight="1" x14ac:dyDescent="0.2">
      <c r="A18" s="273" t="s">
        <v>128</v>
      </c>
      <c r="B18" s="235">
        <f>[1]Reconciliations!Q15/1000</f>
        <v>190.62321992</v>
      </c>
      <c r="C18" s="277">
        <f>ROUND(B18/B16,2)</f>
        <v>90.59</v>
      </c>
      <c r="D18" s="278"/>
      <c r="E18" s="240">
        <f>[1]Reconciliations!L15/1000</f>
        <v>122.13295521000001</v>
      </c>
      <c r="F18" s="279">
        <f>ROUND(E18/E16,2)</f>
        <v>52.94</v>
      </c>
      <c r="G18" s="260"/>
      <c r="H18" s="235">
        <f>SUM([1]Reconciliations!P15:Q15)/1000</f>
        <v>377.73442457000004</v>
      </c>
      <c r="I18" s="277">
        <f>ROUND(H18/H16,2)</f>
        <v>90.72</v>
      </c>
      <c r="J18" s="278"/>
      <c r="K18" s="235">
        <f>SUM([1]Reconciliations!K15:L15)/1000</f>
        <v>232.74530808</v>
      </c>
      <c r="L18" s="279">
        <f>ROUND(K18/K16,2)</f>
        <v>52.05</v>
      </c>
    </row>
    <row r="19" spans="1:12" ht="12.75" customHeight="1" x14ac:dyDescent="0.2">
      <c r="A19" s="273" t="s">
        <v>129</v>
      </c>
      <c r="B19" s="241">
        <f>[1]Reconciliations!Q32/1000</f>
        <v>128.24625384999999</v>
      </c>
      <c r="C19" s="280">
        <f>ROUND(B19/B16,2)</f>
        <v>60.95</v>
      </c>
      <c r="D19" s="278"/>
      <c r="E19" s="241">
        <f>[1]Reconciliations!L32/1000</f>
        <v>125.7648762</v>
      </c>
      <c r="F19" s="281">
        <f>ROUND(E19/E16,2)</f>
        <v>54.52</v>
      </c>
      <c r="G19" s="260"/>
      <c r="H19" s="241">
        <f>SUM([1]Reconciliations!P32:Q32)/1000</f>
        <v>247.03384865000001</v>
      </c>
      <c r="I19" s="280">
        <f>ROUND(H19/H16,2)</f>
        <v>59.33</v>
      </c>
      <c r="J19" s="278"/>
      <c r="K19" s="241">
        <f>SUM([1]Reconciliations!K32:L32)/1000</f>
        <v>230.07880384000001</v>
      </c>
      <c r="L19" s="281">
        <f>ROUND(K19/K16,2)</f>
        <v>51.45</v>
      </c>
    </row>
    <row r="20" spans="1:12" ht="12.75" customHeight="1" x14ac:dyDescent="0.2">
      <c r="A20" s="273" t="s">
        <v>130</v>
      </c>
      <c r="B20" s="242">
        <f>B18-B19</f>
        <v>62.376966070000009</v>
      </c>
      <c r="C20" s="282">
        <f>C18-C19</f>
        <v>29.64</v>
      </c>
      <c r="D20" s="278"/>
      <c r="E20" s="242">
        <f>E18-E19</f>
        <v>-3.6319209899999976</v>
      </c>
      <c r="F20" s="283">
        <f>F18-F19</f>
        <v>-1.5800000000000054</v>
      </c>
      <c r="G20" s="260"/>
      <c r="H20" s="242">
        <f>H18-H19</f>
        <v>130.70057592000003</v>
      </c>
      <c r="I20" s="282">
        <f>I18-I19</f>
        <v>31.39</v>
      </c>
      <c r="J20" s="278"/>
      <c r="K20" s="242">
        <f>K18-K19</f>
        <v>2.6665042399999948</v>
      </c>
      <c r="L20" s="283">
        <f>L18-L19</f>
        <v>0.59999999999999432</v>
      </c>
    </row>
    <row r="21" spans="1:12" ht="12.75" customHeight="1" x14ac:dyDescent="0.2">
      <c r="A21" s="268"/>
      <c r="B21" s="269"/>
      <c r="C21" s="270"/>
      <c r="D21" s="271"/>
      <c r="E21" s="269"/>
      <c r="F21" s="269"/>
      <c r="G21" s="284"/>
      <c r="H21" s="269"/>
      <c r="I21" s="270"/>
      <c r="J21" s="271"/>
      <c r="K21" s="269"/>
      <c r="L21" s="269"/>
    </row>
    <row r="22" spans="1:12" ht="12.75" customHeight="1" x14ac:dyDescent="0.2">
      <c r="A22" s="268" t="s">
        <v>132</v>
      </c>
      <c r="B22" s="269"/>
      <c r="C22" s="270"/>
      <c r="D22" s="271"/>
      <c r="E22" s="272"/>
      <c r="F22" s="272"/>
      <c r="G22" s="260"/>
      <c r="H22" s="269"/>
      <c r="I22" s="270"/>
      <c r="J22" s="271"/>
      <c r="K22" s="272"/>
      <c r="L22" s="272"/>
    </row>
    <row r="23" spans="1:12" ht="12.75" customHeight="1" x14ac:dyDescent="0.2">
      <c r="A23" s="273" t="s">
        <v>127</v>
      </c>
      <c r="B23" s="242">
        <f>'[1]Cash Margin to EBITDA recon'!AN58/1000</f>
        <v>2.3253107700000002</v>
      </c>
      <c r="C23" s="276"/>
      <c r="D23" s="278"/>
      <c r="E23" s="239">
        <f>'[1]Cash Margin to EBITDA recon'!AI58/1000</f>
        <v>1.43613912</v>
      </c>
      <c r="F23" s="238"/>
      <c r="G23" s="260"/>
      <c r="H23" s="242">
        <f>SUM('[1]Cash Margin to EBITDA recon'!AM58:AN58)/1000</f>
        <v>4.6166691499999999</v>
      </c>
      <c r="I23" s="276"/>
      <c r="J23" s="278"/>
      <c r="K23" s="242">
        <f>SUM('[1]Cash Margin to EBITDA recon'!AH58:AI58)/1000</f>
        <v>2.7122617099999999</v>
      </c>
      <c r="L23" s="238"/>
    </row>
    <row r="24" spans="1:12" ht="12.75" customHeight="1" x14ac:dyDescent="0.2">
      <c r="A24" s="273"/>
      <c r="B24" s="234"/>
      <c r="C24" s="276"/>
      <c r="D24" s="238"/>
      <c r="E24" s="238"/>
      <c r="F24" s="238"/>
      <c r="G24" s="260"/>
      <c r="H24" s="234"/>
      <c r="I24" s="276"/>
      <c r="J24" s="238"/>
      <c r="K24" s="234"/>
      <c r="L24" s="238"/>
    </row>
    <row r="25" spans="1:12" ht="12.75" customHeight="1" x14ac:dyDescent="0.2">
      <c r="A25" s="273" t="s">
        <v>128</v>
      </c>
      <c r="B25" s="235">
        <f>[1]Reconciliations!Q16/1000</f>
        <v>77.698447459999997</v>
      </c>
      <c r="C25" s="277">
        <f>ROUND(B25/B23,2)</f>
        <v>33.409999999999997</v>
      </c>
      <c r="D25" s="278"/>
      <c r="E25" s="240">
        <f>[1]Reconciliations!L16/1000</f>
        <v>51.356026110000002</v>
      </c>
      <c r="F25" s="279">
        <f>ROUND(E25/E23,2)</f>
        <v>35.76</v>
      </c>
      <c r="G25" s="260"/>
      <c r="H25" s="235">
        <f>SUM([1]Reconciliations!P16:Q16)/1000</f>
        <v>159.06388659999999</v>
      </c>
      <c r="I25" s="277">
        <f>ROUND(H25/H23,2)</f>
        <v>34.450000000000003</v>
      </c>
      <c r="J25" s="278"/>
      <c r="K25" s="235">
        <f>SUM([1]Reconciliations!K16:L16)/1000</f>
        <v>102.14672802000001</v>
      </c>
      <c r="L25" s="279">
        <f>ROUND(K25/K23,2)</f>
        <v>37.659999999999997</v>
      </c>
    </row>
    <row r="26" spans="1:12" ht="12.75" customHeight="1" x14ac:dyDescent="0.2">
      <c r="A26" s="273" t="s">
        <v>129</v>
      </c>
      <c r="B26" s="241">
        <f>[1]Reconciliations!Q33/1000</f>
        <v>51.302196870000003</v>
      </c>
      <c r="C26" s="280">
        <f>ROUND(B26/B23,2)</f>
        <v>22.06</v>
      </c>
      <c r="D26" s="278"/>
      <c r="E26" s="241">
        <f>[1]Reconciliations!L33/1000</f>
        <v>52.262870210000003</v>
      </c>
      <c r="F26" s="281">
        <f>ROUND(E26/E23,2)</f>
        <v>36.39</v>
      </c>
      <c r="G26" s="260"/>
      <c r="H26" s="241">
        <f>SUM([1]Reconciliations!P33:Q33)/1000</f>
        <v>105.87780642000001</v>
      </c>
      <c r="I26" s="280">
        <f>ROUND(H26/H23,2)</f>
        <v>22.93</v>
      </c>
      <c r="J26" s="278"/>
      <c r="K26" s="241">
        <f>SUM([1]Reconciliations!K33:L33)/1000</f>
        <v>99.8849369</v>
      </c>
      <c r="L26" s="281">
        <f>ROUND(K26/K23,2)</f>
        <v>36.83</v>
      </c>
    </row>
    <row r="27" spans="1:12" ht="12.75" customHeight="1" x14ac:dyDescent="0.2">
      <c r="A27" s="273" t="s">
        <v>130</v>
      </c>
      <c r="B27" s="242">
        <f>B25-B26</f>
        <v>26.396250589999994</v>
      </c>
      <c r="C27" s="282">
        <f>C25-C26</f>
        <v>11.349999999999998</v>
      </c>
      <c r="D27" s="278"/>
      <c r="E27" s="242">
        <f>E25-E26</f>
        <v>-0.90684410000000071</v>
      </c>
      <c r="F27" s="283">
        <f>F25-F26</f>
        <v>-0.63000000000000256</v>
      </c>
      <c r="G27" s="260"/>
      <c r="H27" s="242">
        <f>H25-H26</f>
        <v>53.186080179999976</v>
      </c>
      <c r="I27" s="282">
        <f>I25-I26</f>
        <v>11.520000000000003</v>
      </c>
      <c r="J27" s="278"/>
      <c r="K27" s="242">
        <f>K25-K26</f>
        <v>2.2617911200000123</v>
      </c>
      <c r="L27" s="283">
        <f>L25-L26</f>
        <v>0.82999999999999829</v>
      </c>
    </row>
    <row r="28" spans="1:12" ht="12.75" customHeight="1" x14ac:dyDescent="0.2">
      <c r="A28" s="268"/>
      <c r="B28" s="269"/>
      <c r="C28" s="270"/>
      <c r="D28" s="271"/>
      <c r="E28" s="269"/>
      <c r="F28" s="269"/>
      <c r="G28" s="284"/>
      <c r="H28" s="269"/>
      <c r="I28" s="270"/>
      <c r="J28" s="271"/>
      <c r="K28" s="269"/>
      <c r="L28" s="269"/>
    </row>
    <row r="29" spans="1:12" ht="12.75" customHeight="1" x14ac:dyDescent="0.2">
      <c r="A29" s="268" t="s">
        <v>133</v>
      </c>
      <c r="B29" s="235">
        <f>B13+B20+B27</f>
        <v>120.18714890999999</v>
      </c>
      <c r="C29" s="270"/>
      <c r="D29" s="271"/>
      <c r="E29" s="235">
        <f>E13+E20+E27</f>
        <v>16.750040520000027</v>
      </c>
      <c r="F29" s="269"/>
      <c r="G29" s="284"/>
      <c r="H29" s="235">
        <f>H13+H20+H27</f>
        <v>263.01729986999999</v>
      </c>
      <c r="I29" s="270"/>
      <c r="J29" s="271"/>
      <c r="K29" s="235">
        <f>K13+K20+K27</f>
        <v>38.991983270000006</v>
      </c>
      <c r="L29" s="269"/>
    </row>
    <row r="30" spans="1:12" ht="12.75" customHeight="1" x14ac:dyDescent="0.2">
      <c r="A30" s="268"/>
      <c r="B30" s="269"/>
      <c r="C30" s="270"/>
      <c r="D30" s="271"/>
      <c r="E30" s="269"/>
      <c r="F30" s="269"/>
      <c r="G30" s="284"/>
      <c r="H30" s="269"/>
      <c r="I30" s="270"/>
      <c r="J30" s="271"/>
      <c r="K30" s="269"/>
      <c r="L30" s="269"/>
    </row>
    <row r="31" spans="1:12" ht="12.75" customHeight="1" x14ac:dyDescent="0.2">
      <c r="A31" s="268" t="s">
        <v>10</v>
      </c>
      <c r="B31" s="242">
        <f>'[1]Cash Margin to EBITDA recon'!AN78/1000</f>
        <v>-22.14576404</v>
      </c>
      <c r="C31" s="270"/>
      <c r="D31" s="278"/>
      <c r="E31" s="242">
        <f>'[1]Cash Margin to EBITDA recon'!AI78/1000</f>
        <v>-19.019633029999998</v>
      </c>
      <c r="F31" s="269"/>
      <c r="G31" s="284"/>
      <c r="H31" s="242">
        <f>SUM('[1]Cash Margin to EBITDA recon'!AM78:AN78)/1000</f>
        <v>-42.668673219999995</v>
      </c>
      <c r="I31" s="270"/>
      <c r="J31" s="278"/>
      <c r="K31" s="242">
        <f>SUM('[1]Cash Margin to EBITDA recon'!AH78:AI78)/1000</f>
        <v>-38.845345989999998</v>
      </c>
      <c r="L31" s="269"/>
    </row>
    <row r="32" spans="1:12" ht="12.75" customHeight="1" x14ac:dyDescent="0.2">
      <c r="A32" s="268" t="s">
        <v>134</v>
      </c>
      <c r="B32" s="242">
        <v>0</v>
      </c>
      <c r="C32" s="270"/>
      <c r="D32" s="278"/>
      <c r="E32" s="242">
        <f>'[1]Cash Margin to EBITDA recon'!AI80/1000</f>
        <v>0</v>
      </c>
      <c r="F32" s="269"/>
      <c r="G32" s="284"/>
      <c r="H32" s="242">
        <v>0</v>
      </c>
      <c r="I32" s="270"/>
      <c r="J32" s="278"/>
      <c r="K32" s="242">
        <f>SUM('[1]Cash Margin to EBITDA recon'!AH80:AI80)/1000</f>
        <v>-1.6285000000000001</v>
      </c>
      <c r="L32" s="269"/>
    </row>
    <row r="33" spans="1:12" ht="12.75" customHeight="1" x14ac:dyDescent="0.2">
      <c r="A33" s="268" t="s">
        <v>54</v>
      </c>
      <c r="B33" s="241">
        <f>'[1]Cash Margin to EBITDA recon'!AN81/1000</f>
        <v>-2.6734318399999903</v>
      </c>
      <c r="C33" s="270"/>
      <c r="D33" s="271"/>
      <c r="E33" s="241">
        <f>'[1]Cash Margin to EBITDA recon'!AI81/1000</f>
        <v>1.9599496800000626</v>
      </c>
      <c r="F33" s="269"/>
      <c r="G33" s="284"/>
      <c r="H33" s="241">
        <f>SUM('[1]Cash Margin to EBITDA recon'!AM81:AN81)/1000</f>
        <v>-4.4828877200000425</v>
      </c>
      <c r="I33" s="270"/>
      <c r="J33" s="271"/>
      <c r="K33" s="241">
        <f>SUM('[1]Cash Margin to EBITDA recon'!AH81:AI81)/1000</f>
        <v>-0.54769282999998248</v>
      </c>
      <c r="L33" s="269"/>
    </row>
    <row r="34" spans="1:12" ht="12.75" customHeight="1" x14ac:dyDescent="0.2">
      <c r="A34" s="268"/>
      <c r="B34" s="269"/>
      <c r="C34" s="270"/>
      <c r="D34" s="271"/>
      <c r="E34" s="269"/>
      <c r="F34" s="269"/>
      <c r="G34" s="284"/>
      <c r="H34" s="269"/>
      <c r="I34" s="270"/>
      <c r="J34" s="271"/>
      <c r="K34" s="269"/>
      <c r="L34" s="269"/>
    </row>
    <row r="35" spans="1:12" ht="12.75" customHeight="1" thickBot="1" x14ac:dyDescent="0.25">
      <c r="A35" s="268" t="s">
        <v>92</v>
      </c>
      <c r="B35" s="285">
        <f>'[1]Cash Margin to EBITDA recon'!AN83/1000</f>
        <v>95.36795303000001</v>
      </c>
      <c r="C35" s="270"/>
      <c r="D35" s="271"/>
      <c r="E35" s="285">
        <f>'[1]Cash Margin to EBITDA recon'!AI83/1000</f>
        <v>-0.30964282999995402</v>
      </c>
      <c r="F35" s="269"/>
      <c r="G35" s="284"/>
      <c r="H35" s="285">
        <f>SUM('[1]Cash Margin to EBITDA recon'!AM83:AN83)/1000</f>
        <v>215.86573892999999</v>
      </c>
      <c r="I35" s="270"/>
      <c r="J35" s="271"/>
      <c r="K35" s="285">
        <f>SUM('[1]Cash Margin to EBITDA recon'!AH83:AI83)/1000</f>
        <v>-2.0295555499999542</v>
      </c>
      <c r="L35" s="269"/>
    </row>
    <row r="36" spans="1:12" ht="12.75" customHeight="1" thickTop="1" x14ac:dyDescent="0.2">
      <c r="A36" s="268"/>
      <c r="B36" s="261"/>
      <c r="C36" s="269"/>
      <c r="D36" s="271"/>
      <c r="E36" s="269"/>
      <c r="F36" s="269"/>
      <c r="G36" s="284"/>
      <c r="H36" s="261"/>
      <c r="I36" s="269"/>
      <c r="J36" s="271"/>
      <c r="K36" s="269"/>
      <c r="L36" s="269"/>
    </row>
    <row r="37" spans="1:12" ht="12.75" customHeight="1" x14ac:dyDescent="0.2">
      <c r="A37" s="268"/>
      <c r="B37" s="269"/>
      <c r="C37" s="269"/>
      <c r="D37" s="271"/>
      <c r="E37" s="269"/>
      <c r="F37" s="269"/>
      <c r="G37" s="284"/>
      <c r="H37" s="269"/>
      <c r="I37" s="269"/>
      <c r="J37" s="271"/>
      <c r="K37" s="269"/>
      <c r="L37" s="269"/>
    </row>
    <row r="38" spans="1:12" ht="12.75" customHeight="1" x14ac:dyDescent="0.2">
      <c r="A38" s="286" t="s">
        <v>47</v>
      </c>
      <c r="B38" s="312" t="s">
        <v>96</v>
      </c>
      <c r="C38" s="313"/>
      <c r="D38" s="312" t="s">
        <v>95</v>
      </c>
      <c r="E38" s="312"/>
      <c r="F38" s="312"/>
      <c r="G38" s="284"/>
      <c r="H38" s="312" t="s">
        <v>96</v>
      </c>
      <c r="I38" s="313"/>
      <c r="J38" s="312" t="s">
        <v>95</v>
      </c>
      <c r="K38" s="312"/>
      <c r="L38" s="312"/>
    </row>
    <row r="39" spans="1:12" ht="25.5" customHeight="1" x14ac:dyDescent="0.2">
      <c r="A39" s="268"/>
      <c r="B39" s="310" t="str">
        <f>B6</f>
        <v>Three Months  Ended            June 30, 2017</v>
      </c>
      <c r="C39" s="311"/>
      <c r="D39" s="263" t="s">
        <v>3</v>
      </c>
      <c r="E39" s="310" t="str">
        <f>E6</f>
        <v>Three Months Ended               June 30, 2016</v>
      </c>
      <c r="F39" s="310"/>
      <c r="G39" s="284"/>
      <c r="H39" s="310" t="str">
        <f>H6</f>
        <v>Six Months Ended              June 30, 2017</v>
      </c>
      <c r="I39" s="311"/>
      <c r="J39" s="263" t="s">
        <v>3</v>
      </c>
      <c r="K39" s="310" t="str">
        <f>K6</f>
        <v>Six Months Ended              June 30, 2016</v>
      </c>
      <c r="L39" s="310"/>
    </row>
    <row r="40" spans="1:12" ht="12.75" customHeight="1" x14ac:dyDescent="0.2">
      <c r="A40" s="268" t="s">
        <v>135</v>
      </c>
      <c r="B40" s="235">
        <f>B11+B18+B25</f>
        <v>495.40078808999999</v>
      </c>
      <c r="C40" s="287"/>
      <c r="D40" s="271"/>
      <c r="E40" s="235">
        <f>E11+E18+E25</f>
        <v>377.99558249000006</v>
      </c>
      <c r="F40" s="269"/>
      <c r="G40" s="284"/>
      <c r="H40" s="235">
        <f>H11+H18+H25</f>
        <v>1031.9650919599999</v>
      </c>
      <c r="I40" s="287"/>
      <c r="J40" s="271"/>
      <c r="K40" s="235">
        <f>K11+K18+K25</f>
        <v>757.86654827000007</v>
      </c>
      <c r="L40" s="269"/>
    </row>
    <row r="41" spans="1:12" ht="12.75" customHeight="1" x14ac:dyDescent="0.2">
      <c r="A41" s="268" t="s">
        <v>75</v>
      </c>
      <c r="B41" s="242">
        <f>[1]Reconciliations!Q21/1000</f>
        <v>54.466441659999994</v>
      </c>
      <c r="C41" s="270"/>
      <c r="D41" s="271"/>
      <c r="E41" s="242">
        <f>[1]Reconciliations!L21/1000</f>
        <v>37.839624499999999</v>
      </c>
      <c r="F41" s="269"/>
      <c r="G41" s="284"/>
      <c r="H41" s="242">
        <f>SUM([1]Reconciliations!P21:Q21)/1000</f>
        <v>118.8252772</v>
      </c>
      <c r="I41" s="270"/>
      <c r="J41" s="271"/>
      <c r="K41" s="242">
        <f>SUM([1]Reconciliations!K21:L21)/1000</f>
        <v>75.338409840000011</v>
      </c>
      <c r="L41" s="269"/>
    </row>
    <row r="42" spans="1:12" ht="12.75" customHeight="1" x14ac:dyDescent="0.2">
      <c r="A42" s="260" t="s">
        <v>136</v>
      </c>
      <c r="B42" s="236">
        <f>[1]Reconciliations!Q20/1000</f>
        <v>0</v>
      </c>
      <c r="C42" s="288"/>
      <c r="D42" s="289"/>
      <c r="E42" s="244">
        <f>[1]Reconciliations!L20/1000</f>
        <v>0.18</v>
      </c>
      <c r="F42" s="290"/>
      <c r="G42" s="260"/>
      <c r="H42" s="236">
        <f>[1]Reconciliations!V20/1000</f>
        <v>0</v>
      </c>
      <c r="I42" s="288"/>
      <c r="J42" s="289"/>
      <c r="K42" s="242">
        <f>SUM([1]Reconciliations!K20:L20)/1000</f>
        <v>0.34305000000000002</v>
      </c>
      <c r="L42" s="290"/>
    </row>
    <row r="43" spans="1:12" ht="12.75" customHeight="1" x14ac:dyDescent="0.2">
      <c r="A43" s="260" t="s">
        <v>137</v>
      </c>
      <c r="B43" s="237">
        <f>[1]Reconciliations!Q22/1000</f>
        <v>-1.2297499999403953E-3</v>
      </c>
      <c r="C43" s="288"/>
      <c r="D43" s="289"/>
      <c r="E43" s="243">
        <f>[1]Reconciliations!L22/1000</f>
        <v>4.2827930100000229</v>
      </c>
      <c r="F43" s="290"/>
      <c r="G43" s="260"/>
      <c r="H43" s="237">
        <f>SUM([1]Reconciliations!P22:Q22)/1000</f>
        <v>5.0630839999997991E-2</v>
      </c>
      <c r="I43" s="288"/>
      <c r="J43" s="289"/>
      <c r="K43" s="237">
        <f>SUM([1]Reconciliations!K22:L22)/1000</f>
        <v>14.855991890000006</v>
      </c>
      <c r="L43" s="290"/>
    </row>
    <row r="44" spans="1:12" ht="12.75" customHeight="1" x14ac:dyDescent="0.2">
      <c r="A44" s="260" t="s">
        <v>5</v>
      </c>
      <c r="B44" s="235">
        <f>SUM(B40:B43)</f>
        <v>549.86599999999999</v>
      </c>
      <c r="C44" s="291"/>
      <c r="D44" s="292"/>
      <c r="E44" s="235">
        <f>SUM(E40:E43)</f>
        <v>420.29800000000012</v>
      </c>
      <c r="F44" s="293"/>
      <c r="G44" s="261"/>
      <c r="H44" s="235">
        <f>SUM(H40:H43)</f>
        <v>1150.8409999999999</v>
      </c>
      <c r="I44" s="291"/>
      <c r="J44" s="292"/>
      <c r="K44" s="235">
        <f>SUM(K40:K43)</f>
        <v>848.40400000000011</v>
      </c>
      <c r="L44" s="293"/>
    </row>
    <row r="45" spans="1:12" ht="12.75" customHeight="1" x14ac:dyDescent="0.2">
      <c r="A45" s="260"/>
      <c r="B45" s="235"/>
      <c r="C45" s="294"/>
      <c r="D45" s="292"/>
      <c r="E45" s="235"/>
      <c r="F45" s="293"/>
      <c r="G45" s="261"/>
      <c r="H45" s="235"/>
      <c r="I45" s="294"/>
      <c r="J45" s="292"/>
      <c r="K45" s="235"/>
      <c r="L45" s="293"/>
    </row>
    <row r="46" spans="1:12" ht="12.75" customHeight="1" x14ac:dyDescent="0.2">
      <c r="A46" s="260" t="s">
        <v>138</v>
      </c>
      <c r="B46" s="235"/>
      <c r="C46" s="294"/>
      <c r="D46" s="292"/>
      <c r="E46" s="235"/>
      <c r="F46" s="293"/>
      <c r="G46" s="261"/>
      <c r="H46" s="235"/>
      <c r="I46" s="294"/>
      <c r="J46" s="292"/>
      <c r="K46" s="235"/>
      <c r="L46" s="293"/>
    </row>
    <row r="47" spans="1:12" ht="12.75" customHeight="1" x14ac:dyDescent="0.2">
      <c r="A47" s="260" t="s">
        <v>139</v>
      </c>
      <c r="B47" s="235"/>
      <c r="C47" s="294"/>
      <c r="D47" s="292"/>
      <c r="E47" s="235"/>
      <c r="F47" s="293"/>
      <c r="G47" s="261"/>
      <c r="H47" s="235"/>
      <c r="I47" s="294"/>
      <c r="J47" s="292"/>
      <c r="K47" s="235"/>
      <c r="L47" s="293"/>
    </row>
    <row r="48" spans="1:12" ht="12.75" customHeight="1" x14ac:dyDescent="0.2">
      <c r="A48" s="260"/>
      <c r="B48" s="235"/>
      <c r="C48" s="294"/>
      <c r="D48" s="292"/>
      <c r="E48" s="235"/>
      <c r="F48" s="293"/>
      <c r="G48" s="261"/>
      <c r="H48" s="235"/>
      <c r="I48" s="294"/>
      <c r="J48" s="292"/>
      <c r="K48" s="235"/>
      <c r="L48" s="293"/>
    </row>
    <row r="49" spans="1:12" ht="12.75" customHeight="1" x14ac:dyDescent="0.2">
      <c r="A49" s="260"/>
      <c r="B49" s="235"/>
      <c r="C49" s="294"/>
      <c r="D49" s="292"/>
      <c r="E49" s="235"/>
      <c r="F49" s="293"/>
      <c r="H49" s="235"/>
      <c r="I49" s="294"/>
      <c r="J49" s="292"/>
      <c r="K49" s="235"/>
      <c r="L49" s="293"/>
    </row>
    <row r="50" spans="1:12" ht="12.75" customHeight="1" x14ac:dyDescent="0.2">
      <c r="A50" s="295"/>
      <c r="B50" s="312" t="s">
        <v>96</v>
      </c>
      <c r="C50" s="313"/>
      <c r="D50" s="312" t="s">
        <v>95</v>
      </c>
      <c r="E50" s="312"/>
      <c r="F50" s="312"/>
      <c r="H50" s="312" t="s">
        <v>96</v>
      </c>
      <c r="I50" s="313"/>
      <c r="J50" s="312" t="s">
        <v>95</v>
      </c>
      <c r="K50" s="312"/>
      <c r="L50" s="312"/>
    </row>
    <row r="51" spans="1:12" ht="25.5" customHeight="1" x14ac:dyDescent="0.2">
      <c r="A51" s="261"/>
      <c r="B51" s="310" t="str">
        <f>B6</f>
        <v>Three Months  Ended            June 30, 2017</v>
      </c>
      <c r="C51" s="311"/>
      <c r="D51" s="263" t="s">
        <v>3</v>
      </c>
      <c r="E51" s="310" t="str">
        <f>E6</f>
        <v>Three Months Ended               June 30, 2016</v>
      </c>
      <c r="F51" s="310"/>
      <c r="H51" s="310" t="str">
        <f>H6</f>
        <v>Six Months Ended              June 30, 2017</v>
      </c>
      <c r="I51" s="311"/>
      <c r="J51" s="263" t="s">
        <v>3</v>
      </c>
      <c r="K51" s="310" t="str">
        <f>K6</f>
        <v>Six Months Ended              June 30, 2016</v>
      </c>
      <c r="L51" s="310"/>
    </row>
    <row r="52" spans="1:12" ht="12.75" customHeight="1" x14ac:dyDescent="0.2">
      <c r="A52" s="268" t="s">
        <v>140</v>
      </c>
      <c r="B52" s="296">
        <f>B12+B19+B26</f>
        <v>375.21363917999997</v>
      </c>
      <c r="C52" s="297"/>
      <c r="D52" s="268"/>
      <c r="E52" s="296">
        <f>E12+E19+E26</f>
        <v>361.24554197000003</v>
      </c>
      <c r="F52" s="268"/>
      <c r="H52" s="296">
        <f>H12+H19+H26</f>
        <v>768.94779209000012</v>
      </c>
      <c r="I52" s="297"/>
      <c r="J52" s="268"/>
      <c r="K52" s="296">
        <f>K12+K19+K26</f>
        <v>718.87456499999996</v>
      </c>
      <c r="L52" s="268"/>
    </row>
    <row r="53" spans="1:12" ht="12.75" customHeight="1" x14ac:dyDescent="0.2">
      <c r="A53" s="298" t="s">
        <v>75</v>
      </c>
      <c r="B53" s="245">
        <f>B41</f>
        <v>54.466441659999994</v>
      </c>
      <c r="C53" s="299"/>
      <c r="D53" s="268"/>
      <c r="E53" s="245">
        <f>E41</f>
        <v>37.839624499999999</v>
      </c>
      <c r="F53" s="268"/>
      <c r="H53" s="245">
        <f>H41</f>
        <v>118.8252772</v>
      </c>
      <c r="I53" s="299"/>
      <c r="J53" s="268"/>
      <c r="K53" s="245">
        <f>K41</f>
        <v>75.338409840000011</v>
      </c>
      <c r="L53" s="268"/>
    </row>
    <row r="54" spans="1:12" ht="12.75" customHeight="1" x14ac:dyDescent="0.2">
      <c r="A54" s="298" t="s">
        <v>141</v>
      </c>
      <c r="B54" s="245">
        <f>[1]Reconciliations!Q37/1000</f>
        <v>-0.89107199999999998</v>
      </c>
      <c r="C54" s="299"/>
      <c r="D54" s="268"/>
      <c r="E54" s="245">
        <f>[1]Reconciliations!L37/1000</f>
        <v>-1.208655</v>
      </c>
      <c r="F54" s="268"/>
      <c r="H54" s="245">
        <f>SUM([1]Reconciliations!P37:Q37)/1000</f>
        <v>-1.4953175999999999</v>
      </c>
      <c r="I54" s="299"/>
      <c r="J54" s="268"/>
      <c r="K54" s="245">
        <f>SUM([1]Reconciliations!K37:L37)/1000</f>
        <v>-2.5427429999999998</v>
      </c>
      <c r="L54" s="268"/>
    </row>
    <row r="55" spans="1:12" ht="12.75" customHeight="1" x14ac:dyDescent="0.2">
      <c r="A55" s="298" t="s">
        <v>137</v>
      </c>
      <c r="B55" s="246">
        <f>[1]Reconciliations!Q39/1000</f>
        <v>6.2489911599999761</v>
      </c>
      <c r="C55" s="299"/>
      <c r="D55" s="268"/>
      <c r="E55" s="246">
        <f>[1]Reconciliations!L39/1000</f>
        <v>13.115488530000032</v>
      </c>
      <c r="F55" s="268"/>
      <c r="H55" s="246">
        <f>SUM([1]Reconciliations!P39:Q39)/1000</f>
        <v>10.170248309999995</v>
      </c>
      <c r="I55" s="299"/>
      <c r="J55" s="268"/>
      <c r="K55" s="246">
        <f>SUM([1]Reconciliations!K39:L39)/1000</f>
        <v>30.331768160000035</v>
      </c>
      <c r="L55" s="268"/>
    </row>
    <row r="56" spans="1:12" ht="12.75" customHeight="1" x14ac:dyDescent="0.2">
      <c r="A56" s="268" t="s">
        <v>179</v>
      </c>
      <c r="B56" s="300">
        <f>SUM(B52:B55)</f>
        <v>435.03799999999995</v>
      </c>
      <c r="C56" s="299"/>
      <c r="D56" s="268"/>
      <c r="E56" s="300">
        <f>SUM(E52:E55)</f>
        <v>410.99200000000008</v>
      </c>
      <c r="F56" s="268"/>
      <c r="H56" s="300">
        <f>SUM(H52:H55)</f>
        <v>896.44800000000009</v>
      </c>
      <c r="I56" s="299"/>
      <c r="J56" s="268"/>
      <c r="K56" s="300">
        <f>SUM(K52:K55)</f>
        <v>822.00200000000007</v>
      </c>
      <c r="L56" s="268"/>
    </row>
    <row r="57" spans="1:12" ht="12.75" customHeight="1" x14ac:dyDescent="0.2">
      <c r="A57" s="268"/>
      <c r="B57" s="268"/>
      <c r="C57" s="268"/>
      <c r="D57" s="268"/>
      <c r="E57" s="268"/>
      <c r="F57" s="268"/>
      <c r="H57" s="268"/>
      <c r="I57" s="268"/>
      <c r="J57" s="268"/>
      <c r="K57" s="268"/>
      <c r="L57" s="268"/>
    </row>
    <row r="58" spans="1:12" ht="12.75" customHeight="1" x14ac:dyDescent="0.2">
      <c r="A58" s="260" t="s">
        <v>142</v>
      </c>
      <c r="B58" s="268"/>
      <c r="C58" s="268"/>
      <c r="D58" s="268"/>
      <c r="E58" s="268"/>
      <c r="F58" s="268"/>
      <c r="H58" s="268"/>
      <c r="I58" s="268"/>
      <c r="J58" s="268"/>
      <c r="K58" s="268"/>
      <c r="L58" s="268"/>
    </row>
    <row r="59" spans="1:12" ht="12.75" customHeight="1" x14ac:dyDescent="0.2">
      <c r="A59" s="268" t="s">
        <v>143</v>
      </c>
      <c r="B59" s="268"/>
      <c r="C59" s="268"/>
      <c r="D59" s="268"/>
      <c r="E59" s="268"/>
      <c r="F59" s="268"/>
      <c r="H59" s="268"/>
      <c r="I59" s="268"/>
      <c r="J59" s="268"/>
      <c r="K59" s="268"/>
      <c r="L59" s="268"/>
    </row>
    <row r="60" spans="1:12" ht="12.75" customHeight="1" x14ac:dyDescent="0.2">
      <c r="A60" s="268"/>
      <c r="B60" s="268"/>
      <c r="C60" s="268"/>
      <c r="D60" s="268"/>
      <c r="E60" s="268"/>
      <c r="F60" s="268"/>
      <c r="H60" s="268"/>
      <c r="I60" s="268"/>
      <c r="J60" s="268"/>
      <c r="K60" s="268"/>
      <c r="L60" s="268"/>
    </row>
    <row r="61" spans="1:12" x14ac:dyDescent="0.2">
      <c r="A61" s="268"/>
      <c r="B61" s="268"/>
      <c r="C61" s="268"/>
      <c r="D61" s="268"/>
      <c r="E61" s="268"/>
      <c r="F61" s="268"/>
      <c r="H61" s="268"/>
      <c r="I61" s="268"/>
      <c r="J61" s="268"/>
      <c r="K61" s="268"/>
      <c r="L61" s="268"/>
    </row>
    <row r="62" spans="1:12" x14ac:dyDescent="0.2">
      <c r="A62" s="268"/>
      <c r="B62" s="268"/>
      <c r="C62" s="268"/>
      <c r="D62" s="268"/>
      <c r="E62" s="268"/>
      <c r="F62" s="268"/>
      <c r="H62" s="268"/>
      <c r="I62" s="268"/>
      <c r="J62" s="268"/>
      <c r="K62" s="268"/>
      <c r="L62" s="268"/>
    </row>
    <row r="63" spans="1:12" x14ac:dyDescent="0.2">
      <c r="A63" s="268"/>
      <c r="B63" s="268"/>
      <c r="C63" s="268"/>
      <c r="D63" s="268"/>
      <c r="E63" s="268"/>
      <c r="F63" s="268"/>
      <c r="H63" s="268"/>
      <c r="I63" s="268"/>
      <c r="J63" s="268"/>
      <c r="K63" s="268"/>
      <c r="L63" s="268"/>
    </row>
    <row r="64" spans="1:12" x14ac:dyDescent="0.2">
      <c r="A64" s="268"/>
      <c r="B64" s="268"/>
      <c r="C64" s="268"/>
      <c r="D64" s="268"/>
      <c r="E64" s="268"/>
      <c r="F64" s="268"/>
      <c r="H64" s="268"/>
      <c r="I64" s="268"/>
      <c r="J64" s="268"/>
      <c r="K64" s="268"/>
      <c r="L64" s="268"/>
    </row>
    <row r="65" spans="1:12" x14ac:dyDescent="0.2">
      <c r="A65" s="268"/>
      <c r="B65" s="268"/>
      <c r="C65" s="268"/>
      <c r="D65" s="268"/>
      <c r="E65" s="268"/>
      <c r="F65" s="268"/>
      <c r="H65" s="268"/>
      <c r="I65" s="268"/>
      <c r="J65" s="268"/>
      <c r="K65" s="268"/>
      <c r="L65" s="268"/>
    </row>
  </sheetData>
  <mergeCells count="27">
    <mergeCell ref="B38:C38"/>
    <mergeCell ref="D38:F38"/>
    <mergeCell ref="H38:I38"/>
    <mergeCell ref="J38:L38"/>
    <mergeCell ref="A1:F1"/>
    <mergeCell ref="A2:F2"/>
    <mergeCell ref="A3:F3"/>
    <mergeCell ref="B5:C5"/>
    <mergeCell ref="D5:F5"/>
    <mergeCell ref="H5:I5"/>
    <mergeCell ref="J5:L5"/>
    <mergeCell ref="B6:C6"/>
    <mergeCell ref="E6:F6"/>
    <mergeCell ref="H6:I6"/>
    <mergeCell ref="K6:L6"/>
    <mergeCell ref="B51:C51"/>
    <mergeCell ref="E51:F51"/>
    <mergeCell ref="H51:I51"/>
    <mergeCell ref="K51:L51"/>
    <mergeCell ref="B39:C39"/>
    <mergeCell ref="E39:F39"/>
    <mergeCell ref="H39:I39"/>
    <mergeCell ref="K39:L39"/>
    <mergeCell ref="B50:C50"/>
    <mergeCell ref="D50:F50"/>
    <mergeCell ref="H50:I50"/>
    <mergeCell ref="J50:L50"/>
  </mergeCells>
  <pageMargins left="0.7" right="0.7" top="0.75" bottom="0.75" header="0.3" footer="0.3"/>
  <pageSetup scale="61" orientation="portrait" r:id="rId1"/>
  <ignoredErrors>
    <ignoredError sqref="H9:N37 H51:N65 H50:I50 M50:N50 H39:N49 H38:I38 M38:N3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4"/>
  <sheetViews>
    <sheetView topLeftCell="A7" zoomScaleNormal="100" workbookViewId="0">
      <selection activeCell="H27" sqref="H27"/>
    </sheetView>
  </sheetViews>
  <sheetFormatPr defaultColWidth="21.5" defaultRowHeight="13.5" customHeight="1" x14ac:dyDescent="0.2"/>
  <cols>
    <col min="1" max="1" width="75.83203125" style="1" customWidth="1"/>
    <col min="2" max="3" width="15.83203125" style="1" customWidth="1"/>
    <col min="4" max="4" width="2.5" style="1" customWidth="1"/>
    <col min="5" max="6" width="15.83203125" style="1" customWidth="1"/>
    <col min="7" max="16384" width="21.5" style="1"/>
  </cols>
  <sheetData>
    <row r="1" spans="1:7" ht="13.5" customHeight="1" x14ac:dyDescent="0.25">
      <c r="A1" s="303" t="s">
        <v>0</v>
      </c>
      <c r="B1" s="305"/>
      <c r="C1" s="321"/>
      <c r="D1" s="321"/>
      <c r="E1" s="304"/>
      <c r="F1" s="304"/>
      <c r="G1" s="3"/>
    </row>
    <row r="2" spans="1:7" ht="13.5" customHeight="1" x14ac:dyDescent="0.25">
      <c r="A2" s="303" t="s">
        <v>47</v>
      </c>
      <c r="B2" s="305"/>
      <c r="C2" s="321"/>
      <c r="D2" s="321"/>
      <c r="E2" s="321"/>
      <c r="F2" s="305"/>
      <c r="G2" s="3"/>
    </row>
    <row r="3" spans="1:7" ht="13.5" customHeight="1" x14ac:dyDescent="0.25">
      <c r="A3" s="303" t="s">
        <v>2</v>
      </c>
      <c r="B3" s="305"/>
      <c r="C3" s="321"/>
      <c r="D3" s="321"/>
      <c r="E3" s="321"/>
      <c r="F3" s="305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308" t="s">
        <v>48</v>
      </c>
      <c r="B5" s="305"/>
      <c r="C5" s="305"/>
      <c r="D5" s="305"/>
      <c r="E5" s="305"/>
      <c r="F5" s="305"/>
      <c r="G5" s="3"/>
    </row>
    <row r="6" spans="1:7" ht="13.5" customHeight="1" x14ac:dyDescent="0.2">
      <c r="A6" s="308" t="s">
        <v>49</v>
      </c>
      <c r="B6" s="305"/>
      <c r="C6" s="305"/>
      <c r="D6" s="305"/>
      <c r="E6" s="305"/>
      <c r="F6" s="305"/>
      <c r="G6" s="3"/>
    </row>
    <row r="7" spans="1:7" ht="13.5" customHeight="1" x14ac:dyDescent="0.2">
      <c r="A7" s="3"/>
      <c r="B7" s="3"/>
      <c r="C7" s="3"/>
      <c r="D7" s="3"/>
      <c r="E7" s="3"/>
      <c r="F7" s="3"/>
      <c r="G7" s="3"/>
    </row>
    <row r="8" spans="1:7" ht="13.5" customHeight="1" x14ac:dyDescent="0.2">
      <c r="A8" s="5" t="s">
        <v>92</v>
      </c>
      <c r="B8" s="3"/>
      <c r="C8" s="3"/>
      <c r="D8" s="3"/>
      <c r="E8" s="3"/>
      <c r="F8" s="3"/>
      <c r="G8" s="3"/>
    </row>
    <row r="9" spans="1:7" ht="13.5" customHeight="1" x14ac:dyDescent="0.2">
      <c r="A9" s="3"/>
      <c r="B9" s="3"/>
      <c r="C9" s="3"/>
      <c r="D9" s="3"/>
      <c r="E9" s="3"/>
      <c r="F9" s="3"/>
      <c r="G9" s="3"/>
    </row>
    <row r="10" spans="1:7" ht="13.5" customHeight="1" x14ac:dyDescent="0.2">
      <c r="A10" s="308" t="s">
        <v>101</v>
      </c>
      <c r="B10" s="305"/>
      <c r="C10" s="305"/>
      <c r="D10" s="305"/>
      <c r="E10" s="305"/>
      <c r="F10" s="305"/>
      <c r="G10" s="3"/>
    </row>
    <row r="11" spans="1:7" ht="13.5" customHeight="1" x14ac:dyDescent="0.2">
      <c r="A11" s="308" t="s">
        <v>144</v>
      </c>
      <c r="B11" s="305"/>
      <c r="C11" s="305"/>
      <c r="D11" s="305"/>
      <c r="E11" s="305"/>
      <c r="F11" s="305"/>
      <c r="G11" s="3"/>
    </row>
    <row r="12" spans="1:7" ht="13.5" customHeight="1" x14ac:dyDescent="0.2">
      <c r="A12" s="308" t="s">
        <v>102</v>
      </c>
      <c r="B12" s="305"/>
      <c r="C12" s="305"/>
      <c r="D12" s="305"/>
      <c r="E12" s="305"/>
      <c r="F12" s="305"/>
      <c r="G12" s="3"/>
    </row>
    <row r="13" spans="1:7" ht="13.5" customHeight="1" x14ac:dyDescent="0.2">
      <c r="A13" s="305"/>
      <c r="B13" s="305"/>
      <c r="C13" s="305"/>
      <c r="D13" s="305"/>
      <c r="E13" s="305"/>
      <c r="F13" s="305"/>
      <c r="G13" s="3"/>
    </row>
    <row r="14" spans="1:7" ht="13.5" customHeight="1" x14ac:dyDescent="0.2">
      <c r="A14" s="308" t="s">
        <v>113</v>
      </c>
      <c r="B14" s="305"/>
      <c r="C14" s="305"/>
      <c r="D14" s="305"/>
      <c r="E14" s="305"/>
      <c r="F14" s="305"/>
      <c r="G14" s="3"/>
    </row>
    <row r="15" spans="1:7" ht="13.5" customHeight="1" x14ac:dyDescent="0.2">
      <c r="A15" s="308" t="s">
        <v>114</v>
      </c>
      <c r="B15" s="305"/>
      <c r="C15" s="305"/>
      <c r="D15" s="305"/>
      <c r="E15" s="305"/>
      <c r="F15" s="305"/>
      <c r="G15" s="3"/>
    </row>
    <row r="16" spans="1:7" ht="13.5" customHeight="1" x14ac:dyDescent="0.2">
      <c r="A16" s="308" t="s">
        <v>115</v>
      </c>
      <c r="B16" s="305"/>
      <c r="C16" s="305"/>
      <c r="D16" s="305"/>
      <c r="E16" s="305"/>
      <c r="F16" s="305"/>
      <c r="G16" s="3"/>
    </row>
    <row r="17" spans="1:8" ht="13.5" customHeight="1" x14ac:dyDescent="0.2">
      <c r="A17" s="308" t="s">
        <v>120</v>
      </c>
      <c r="B17" s="305"/>
      <c r="C17" s="305"/>
      <c r="D17" s="305"/>
      <c r="E17" s="305"/>
      <c r="F17" s="305"/>
      <c r="G17" s="3"/>
    </row>
    <row r="18" spans="1:8" ht="13.5" customHeight="1" x14ac:dyDescent="0.2">
      <c r="A18" s="308" t="s">
        <v>164</v>
      </c>
      <c r="B18" s="305"/>
      <c r="C18" s="305"/>
      <c r="D18" s="305"/>
      <c r="E18" s="305"/>
      <c r="F18" s="305"/>
      <c r="G18" s="3"/>
    </row>
    <row r="19" spans="1:8" ht="13.5" customHeight="1" x14ac:dyDescent="0.2">
      <c r="A19" s="308" t="s">
        <v>166</v>
      </c>
      <c r="B19" s="305"/>
      <c r="C19" s="305"/>
      <c r="D19" s="305"/>
      <c r="E19" s="305"/>
      <c r="F19" s="305"/>
      <c r="G19" s="3"/>
    </row>
    <row r="20" spans="1:8" ht="13.5" customHeight="1" x14ac:dyDescent="0.2">
      <c r="A20" s="308" t="s">
        <v>165</v>
      </c>
      <c r="B20" s="305"/>
      <c r="C20" s="305"/>
      <c r="D20" s="305"/>
      <c r="E20" s="305"/>
      <c r="F20" s="305"/>
      <c r="G20" s="3"/>
    </row>
    <row r="21" spans="1:8" ht="13.5" customHeight="1" x14ac:dyDescent="0.2">
      <c r="A21" s="3"/>
      <c r="B21" s="3"/>
      <c r="C21" s="3"/>
      <c r="D21" s="3"/>
      <c r="E21" s="3"/>
      <c r="F21" s="3"/>
      <c r="G21" s="3"/>
    </row>
    <row r="22" spans="1:8" ht="13.5" customHeight="1" x14ac:dyDescent="0.2">
      <c r="A22" s="3"/>
      <c r="B22" s="161" t="s">
        <v>96</v>
      </c>
      <c r="C22" s="211" t="s">
        <v>95</v>
      </c>
      <c r="D22" s="202"/>
      <c r="E22" s="252" t="s">
        <v>96</v>
      </c>
      <c r="F22" s="253" t="s">
        <v>95</v>
      </c>
      <c r="G22" s="3"/>
    </row>
    <row r="23" spans="1:8" ht="33.75" x14ac:dyDescent="0.2">
      <c r="A23" s="3"/>
      <c r="B23" s="156" t="s">
        <v>171</v>
      </c>
      <c r="C23" s="210" t="s">
        <v>172</v>
      </c>
      <c r="D23" s="39"/>
      <c r="E23" s="156" t="s">
        <v>169</v>
      </c>
      <c r="F23" s="210" t="s">
        <v>170</v>
      </c>
      <c r="G23" s="25"/>
    </row>
    <row r="24" spans="1:8" ht="13.5" customHeight="1" x14ac:dyDescent="0.2">
      <c r="A24" s="3"/>
      <c r="B24" s="157" t="s">
        <v>4</v>
      </c>
      <c r="C24" s="196" t="s">
        <v>4</v>
      </c>
      <c r="D24" s="205"/>
      <c r="E24" s="157" t="s">
        <v>4</v>
      </c>
      <c r="F24" s="196" t="s">
        <v>4</v>
      </c>
      <c r="G24" s="193"/>
      <c r="H24" s="193"/>
    </row>
    <row r="25" spans="1:8" ht="13.5" customHeight="1" x14ac:dyDescent="0.2">
      <c r="A25" s="10" t="s">
        <v>105</v>
      </c>
      <c r="B25" s="168">
        <f>'Statements of Operations'!B40</f>
        <v>37160</v>
      </c>
      <c r="C25" s="79">
        <f>'Statements of Operations'!C40</f>
        <v>-175887</v>
      </c>
      <c r="D25" s="213"/>
      <c r="E25" s="168">
        <f>'Statements of Operations'!E40</f>
        <v>88828</v>
      </c>
      <c r="F25" s="79">
        <f>'Statements of Operations'!F40</f>
        <v>-382589</v>
      </c>
      <c r="G25" s="3"/>
    </row>
    <row r="26" spans="1:8" ht="13.5" customHeight="1" x14ac:dyDescent="0.2">
      <c r="A26" s="9" t="s">
        <v>50</v>
      </c>
      <c r="B26" s="165">
        <f>'Statements of Operations'!B38</f>
        <v>319</v>
      </c>
      <c r="C26" s="81">
        <f>'Statements of Operations'!C38</f>
        <v>-245</v>
      </c>
      <c r="D26" s="190"/>
      <c r="E26" s="165">
        <f>'Statements of Operations'!E38</f>
        <v>1159</v>
      </c>
      <c r="F26" s="81">
        <f>'Statements of Operations'!F38</f>
        <v>-1356</v>
      </c>
      <c r="G26" s="3"/>
    </row>
    <row r="27" spans="1:8" ht="13.5" customHeight="1" x14ac:dyDescent="0.2">
      <c r="A27" s="9" t="s">
        <v>11</v>
      </c>
      <c r="B27" s="165">
        <f>-'Statements of Operations'!B28</f>
        <v>5161</v>
      </c>
      <c r="C27" s="81">
        <f>-'Statements of Operations'!C28</f>
        <v>44340</v>
      </c>
      <c r="D27" s="120"/>
      <c r="E27" s="165">
        <f>-'Statements of Operations'!E28</f>
        <v>14059</v>
      </c>
      <c r="F27" s="81">
        <f>-'Statements of Operations'!F28</f>
        <v>87653</v>
      </c>
      <c r="G27" s="3"/>
    </row>
    <row r="28" spans="1:8" ht="13.5" customHeight="1" x14ac:dyDescent="0.2">
      <c r="A28" s="9" t="s">
        <v>8</v>
      </c>
      <c r="B28" s="165">
        <f>'Statements of Operations'!B14</f>
        <v>30701</v>
      </c>
      <c r="C28" s="81">
        <f>'Statements of Operations'!C14</f>
        <v>58459</v>
      </c>
      <c r="D28" s="190"/>
      <c r="E28" s="165">
        <f>'Statements of Operations'!E14</f>
        <v>62622</v>
      </c>
      <c r="F28" s="81">
        <f>'Statements of Operations'!F14</f>
        <v>122158</v>
      </c>
      <c r="G28" s="3"/>
    </row>
    <row r="29" spans="1:8" s="139" customFormat="1" ht="13.5" customHeight="1" x14ac:dyDescent="0.2">
      <c r="A29" s="9" t="s">
        <v>100</v>
      </c>
      <c r="B29" s="165">
        <f>'Statements of Operations'!B15</f>
        <v>7623</v>
      </c>
      <c r="C29" s="81">
        <f>'Statements of Operations'!C15</f>
        <v>8050</v>
      </c>
      <c r="D29" s="190"/>
      <c r="E29" s="165">
        <f>'Statements of Operations'!E15</f>
        <v>15246</v>
      </c>
      <c r="F29" s="81">
        <f>'Statements of Operations'!F15</f>
        <v>16356</v>
      </c>
      <c r="G29" s="111"/>
    </row>
    <row r="30" spans="1:8" ht="13.5" customHeight="1" x14ac:dyDescent="0.2">
      <c r="A30" s="9" t="s">
        <v>112</v>
      </c>
      <c r="B30" s="165">
        <f>'Statements of Operations'!B16</f>
        <v>14352</v>
      </c>
      <c r="C30" s="120">
        <f>'Statements of Operations'!C16</f>
        <v>1</v>
      </c>
      <c r="D30" s="190"/>
      <c r="E30" s="165">
        <f>'Statements of Operations'!E16</f>
        <v>29042</v>
      </c>
      <c r="F30" s="120">
        <f>'Statements of Operations'!F16</f>
        <v>-832</v>
      </c>
      <c r="G30" s="3"/>
    </row>
    <row r="31" spans="1:8" s="51" customFormat="1" ht="13.5" customHeight="1" x14ac:dyDescent="0.2">
      <c r="A31" s="9" t="s">
        <v>83</v>
      </c>
      <c r="B31" s="165">
        <f>'Statements of Operations'!B18</f>
        <v>0</v>
      </c>
      <c r="C31" s="120">
        <f>'Statements of Operations'!C18</f>
        <v>43701</v>
      </c>
      <c r="D31" s="190"/>
      <c r="E31" s="165">
        <f>'Statements of Operations'!E18</f>
        <v>0</v>
      </c>
      <c r="F31" s="120">
        <f>'Statements of Operations'!F18</f>
        <v>129221</v>
      </c>
      <c r="G31" s="50"/>
    </row>
    <row r="32" spans="1:8" s="54" customFormat="1" ht="13.5" customHeight="1" x14ac:dyDescent="0.2">
      <c r="A32" s="194" t="s">
        <v>86</v>
      </c>
      <c r="B32" s="165">
        <f>-'Statements of Operations'!B33</f>
        <v>31</v>
      </c>
      <c r="C32" s="120">
        <f>-'Statements of Operations'!C33</f>
        <v>0</v>
      </c>
      <c r="D32" s="190"/>
      <c r="E32" s="165">
        <f>-'Statements of Operations'!E33</f>
        <v>2061</v>
      </c>
      <c r="F32" s="120">
        <f>-'Statements of Operations'!F33</f>
        <v>2213</v>
      </c>
      <c r="G32" s="53"/>
    </row>
    <row r="33" spans="1:10" s="103" customFormat="1" ht="13.5" customHeight="1" x14ac:dyDescent="0.2">
      <c r="A33" s="9" t="s">
        <v>88</v>
      </c>
      <c r="B33" s="166">
        <f>-'Statements of Operations'!B34</f>
        <v>21</v>
      </c>
      <c r="C33" s="83">
        <f>-'Statements of Operations'!C34</f>
        <v>21271</v>
      </c>
      <c r="D33" s="190"/>
      <c r="E33" s="166">
        <f>-'Statements of Operations'!E34</f>
        <v>2849</v>
      </c>
      <c r="F33" s="83">
        <f>-'Statements of Operations'!F34</f>
        <v>25146</v>
      </c>
      <c r="G33" s="102"/>
    </row>
    <row r="34" spans="1:10" ht="13.5" customHeight="1" x14ac:dyDescent="0.2">
      <c r="A34" s="9"/>
      <c r="B34" s="215"/>
      <c r="C34" s="128"/>
      <c r="D34" s="130"/>
      <c r="E34" s="215"/>
      <c r="F34" s="128"/>
      <c r="G34" s="3"/>
    </row>
    <row r="35" spans="1:10" ht="13.5" customHeight="1" thickBot="1" x14ac:dyDescent="0.25">
      <c r="A35" s="10" t="s">
        <v>92</v>
      </c>
      <c r="B35" s="167">
        <f>SUM(B25:B34)</f>
        <v>95368</v>
      </c>
      <c r="C35" s="84">
        <f>SUM(C25:C34)</f>
        <v>-310</v>
      </c>
      <c r="D35" s="213"/>
      <c r="E35" s="167">
        <f>SUM(E25:E34)</f>
        <v>215866</v>
      </c>
      <c r="F35" s="84">
        <f>SUM(F25:F34)</f>
        <v>-2030</v>
      </c>
      <c r="G35" s="11"/>
    </row>
    <row r="36" spans="1:10" ht="13.5" customHeight="1" thickTop="1" x14ac:dyDescent="0.2">
      <c r="A36" s="3"/>
      <c r="B36" s="3"/>
      <c r="C36" s="118"/>
      <c r="D36" s="130"/>
      <c r="E36" s="129"/>
      <c r="F36" s="130"/>
      <c r="G36" s="3"/>
    </row>
    <row r="37" spans="1:10" ht="13.5" customHeight="1" x14ac:dyDescent="0.2">
      <c r="A37" s="319" t="s">
        <v>108</v>
      </c>
      <c r="B37" s="320"/>
      <c r="C37" s="320"/>
      <c r="D37" s="3"/>
      <c r="E37" s="25"/>
      <c r="F37" s="25"/>
      <c r="G37" s="3"/>
    </row>
    <row r="38" spans="1:10" ht="13.5" customHeight="1" x14ac:dyDescent="0.2">
      <c r="A38" s="3"/>
      <c r="B38" s="3"/>
      <c r="C38" s="3"/>
      <c r="D38" s="3"/>
      <c r="E38" s="3"/>
      <c r="F38" s="3"/>
      <c r="G38" s="3"/>
    </row>
    <row r="39" spans="1:10" ht="13.5" customHeight="1" x14ac:dyDescent="0.2">
      <c r="A39" s="308" t="s">
        <v>121</v>
      </c>
      <c r="B39" s="320"/>
      <c r="C39" s="320"/>
      <c r="D39" s="305"/>
      <c r="E39" s="320"/>
      <c r="F39" s="320"/>
      <c r="G39" s="3"/>
    </row>
    <row r="40" spans="1:10" ht="13.5" customHeight="1" x14ac:dyDescent="0.2">
      <c r="A40" s="308" t="s">
        <v>122</v>
      </c>
      <c r="B40" s="320"/>
      <c r="C40" s="320"/>
      <c r="D40" s="305"/>
      <c r="E40" s="320"/>
      <c r="F40" s="320"/>
      <c r="G40" s="3"/>
    </row>
    <row r="41" spans="1:10" ht="13.5" customHeight="1" x14ac:dyDescent="0.2">
      <c r="A41" s="308" t="s">
        <v>116</v>
      </c>
      <c r="B41" s="320"/>
      <c r="C41" s="320"/>
      <c r="D41" s="305"/>
      <c r="E41" s="320"/>
      <c r="F41" s="320"/>
      <c r="G41" s="3"/>
    </row>
    <row r="42" spans="1:10" ht="13.5" customHeight="1" x14ac:dyDescent="0.2">
      <c r="A42" s="308" t="s">
        <v>117</v>
      </c>
      <c r="B42" s="320"/>
      <c r="C42" s="320"/>
      <c r="D42" s="305"/>
      <c r="E42" s="320"/>
      <c r="F42" s="320"/>
      <c r="G42" s="3"/>
    </row>
    <row r="43" spans="1:10" ht="13.5" customHeight="1" x14ac:dyDescent="0.2">
      <c r="A43" s="308" t="s">
        <v>118</v>
      </c>
      <c r="B43" s="320"/>
      <c r="C43" s="320"/>
      <c r="D43" s="305"/>
      <c r="E43" s="320"/>
      <c r="F43" s="320"/>
      <c r="G43" s="3"/>
    </row>
    <row r="44" spans="1:10" ht="13.5" customHeight="1" x14ac:dyDescent="0.2">
      <c r="A44" s="308" t="s">
        <v>119</v>
      </c>
      <c r="B44" s="320"/>
      <c r="C44" s="320"/>
      <c r="D44" s="305"/>
      <c r="E44" s="320"/>
      <c r="F44" s="320"/>
      <c r="G44" s="3"/>
    </row>
    <row r="45" spans="1:10" s="199" customFormat="1" ht="13.5" customHeight="1" x14ac:dyDescent="0.2">
      <c r="A45" s="200"/>
      <c r="B45" s="201"/>
      <c r="C45" s="201"/>
      <c r="D45" s="198"/>
      <c r="E45" s="201"/>
      <c r="F45" s="201"/>
      <c r="G45" s="198"/>
    </row>
    <row r="46" spans="1:10" ht="12.75" x14ac:dyDescent="0.2">
      <c r="A46" s="3"/>
      <c r="B46" s="156" t="str">
        <f>B22</f>
        <v>Successor</v>
      </c>
      <c r="C46" s="212" t="s">
        <v>95</v>
      </c>
      <c r="D46" s="203"/>
      <c r="E46" s="156" t="str">
        <f>E22</f>
        <v>Successor</v>
      </c>
      <c r="F46" s="212" t="s">
        <v>95</v>
      </c>
      <c r="G46" s="3"/>
      <c r="H46" s="318"/>
      <c r="I46" s="307"/>
      <c r="J46" s="307"/>
    </row>
    <row r="47" spans="1:10" ht="33.75" x14ac:dyDescent="0.2">
      <c r="A47" s="3"/>
      <c r="B47" s="173" t="str">
        <f>B23</f>
        <v>Three Months Ended June 30, 2017</v>
      </c>
      <c r="C47" s="136" t="str">
        <f>C23</f>
        <v>Three Months Ended June 30, 2016</v>
      </c>
      <c r="D47" s="214" t="s">
        <v>3</v>
      </c>
      <c r="E47" s="250" t="str">
        <f>E23</f>
        <v>Six Months Ended June 30, 2017</v>
      </c>
      <c r="F47" s="210" t="str">
        <f>F23</f>
        <v>Six Months Ended June 30, 2016</v>
      </c>
      <c r="G47" s="10" t="s">
        <v>3</v>
      </c>
      <c r="H47" s="4" t="s">
        <v>3</v>
      </c>
      <c r="I47" s="15" t="s">
        <v>3</v>
      </c>
      <c r="J47" s="4" t="s">
        <v>3</v>
      </c>
    </row>
    <row r="48" spans="1:10" ht="13.5" customHeight="1" x14ac:dyDescent="0.2">
      <c r="A48" s="3"/>
      <c r="B48" s="206" t="s">
        <v>4</v>
      </c>
      <c r="C48" s="207" t="s">
        <v>4</v>
      </c>
      <c r="D48" s="208"/>
      <c r="E48" s="206" t="s">
        <v>4</v>
      </c>
      <c r="F48" s="207" t="s">
        <v>4</v>
      </c>
      <c r="G48" s="3"/>
    </row>
    <row r="49" spans="1:10" ht="13.5" customHeight="1" x14ac:dyDescent="0.2">
      <c r="A49" s="117" t="s">
        <v>105</v>
      </c>
      <c r="B49" s="168">
        <f>B25</f>
        <v>37160</v>
      </c>
      <c r="C49" s="79">
        <f>C25</f>
        <v>-175887</v>
      </c>
      <c r="D49" s="121"/>
      <c r="E49" s="168">
        <f>E25</f>
        <v>88828</v>
      </c>
      <c r="F49" s="79">
        <f>F25</f>
        <v>-382589</v>
      </c>
      <c r="G49" s="3"/>
      <c r="H49" s="13"/>
      <c r="I49" s="3"/>
      <c r="J49" s="13"/>
    </row>
    <row r="50" spans="1:10" ht="13.5" customHeight="1" x14ac:dyDescent="0.2">
      <c r="A50" s="118"/>
      <c r="B50" s="182"/>
      <c r="C50" s="87"/>
      <c r="D50" s="65"/>
      <c r="E50" s="182"/>
      <c r="F50" s="193"/>
      <c r="G50" s="3"/>
      <c r="H50" s="3"/>
      <c r="I50" s="3"/>
      <c r="J50" s="3"/>
    </row>
    <row r="51" spans="1:10" ht="13.5" customHeight="1" x14ac:dyDescent="0.2">
      <c r="A51" s="67" t="s">
        <v>112</v>
      </c>
      <c r="B51" s="165">
        <f t="shared" ref="B51:C54" si="0">B30</f>
        <v>14352</v>
      </c>
      <c r="C51" s="81">
        <f t="shared" si="0"/>
        <v>1</v>
      </c>
      <c r="D51" s="123"/>
      <c r="E51" s="165">
        <f t="shared" ref="E51:F51" si="1">E30</f>
        <v>29042</v>
      </c>
      <c r="F51" s="81">
        <f t="shared" si="1"/>
        <v>-832</v>
      </c>
      <c r="G51" s="94"/>
      <c r="H51" s="16"/>
      <c r="I51" s="3"/>
      <c r="J51" s="16"/>
    </row>
    <row r="52" spans="1:10" s="51" customFormat="1" ht="13.5" customHeight="1" x14ac:dyDescent="0.2">
      <c r="A52" s="67" t="s">
        <v>83</v>
      </c>
      <c r="B52" s="165">
        <f t="shared" si="0"/>
        <v>0</v>
      </c>
      <c r="C52" s="81">
        <f t="shared" si="0"/>
        <v>43701</v>
      </c>
      <c r="D52" s="123"/>
      <c r="E52" s="165">
        <f t="shared" ref="E52:F52" si="2">E31</f>
        <v>0</v>
      </c>
      <c r="F52" s="81">
        <f t="shared" si="2"/>
        <v>129221</v>
      </c>
      <c r="G52" s="50"/>
      <c r="H52" s="52"/>
      <c r="I52" s="50"/>
      <c r="J52" s="52"/>
    </row>
    <row r="53" spans="1:10" s="54" customFormat="1" ht="13.5" customHeight="1" x14ac:dyDescent="0.2">
      <c r="A53" s="194" t="s">
        <v>86</v>
      </c>
      <c r="B53" s="165">
        <f t="shared" si="0"/>
        <v>31</v>
      </c>
      <c r="C53" s="81">
        <f t="shared" si="0"/>
        <v>0</v>
      </c>
      <c r="D53" s="123"/>
      <c r="E53" s="165">
        <f t="shared" ref="E53:F53" si="3">E32</f>
        <v>2061</v>
      </c>
      <c r="F53" s="81">
        <f t="shared" si="3"/>
        <v>2213</v>
      </c>
      <c r="G53" s="53"/>
      <c r="H53" s="55"/>
      <c r="I53" s="53"/>
      <c r="J53" s="55"/>
    </row>
    <row r="54" spans="1:10" s="103" customFormat="1" ht="13.5" customHeight="1" x14ac:dyDescent="0.2">
      <c r="A54" s="67" t="s">
        <v>88</v>
      </c>
      <c r="B54" s="165">
        <f t="shared" si="0"/>
        <v>21</v>
      </c>
      <c r="C54" s="81">
        <f t="shared" si="0"/>
        <v>21271</v>
      </c>
      <c r="D54" s="123"/>
      <c r="E54" s="165">
        <f t="shared" ref="E54:F54" si="4">E33</f>
        <v>2849</v>
      </c>
      <c r="F54" s="81">
        <f t="shared" si="4"/>
        <v>25146</v>
      </c>
      <c r="G54" s="102"/>
      <c r="H54" s="104"/>
      <c r="I54" s="102"/>
      <c r="J54" s="104"/>
    </row>
    <row r="55" spans="1:10" ht="13.5" customHeight="1" x14ac:dyDescent="0.2">
      <c r="A55" s="67" t="s">
        <v>82</v>
      </c>
      <c r="B55" s="166">
        <f>ROUND((-B51-B53-(B54*0.3))*0.36,0)</f>
        <v>-5180</v>
      </c>
      <c r="C55" s="247">
        <f>ROUND((-C51-C53-(C54*0.3))*0.36,0)</f>
        <v>-2298</v>
      </c>
      <c r="D55" s="124"/>
      <c r="E55" s="166">
        <f>ROUND((-E51-E53-(E54*0.3))*0.36,0)</f>
        <v>-11505</v>
      </c>
      <c r="F55" s="247">
        <f>ROUND((-F51-F53-(F54*0.3))*0.36,0)</f>
        <v>-3213</v>
      </c>
      <c r="G55" s="3"/>
      <c r="H55" s="17"/>
      <c r="I55" s="3"/>
      <c r="J55" s="16"/>
    </row>
    <row r="56" spans="1:10" ht="13.5" customHeight="1" x14ac:dyDescent="0.2">
      <c r="A56" s="131"/>
      <c r="B56" s="172"/>
      <c r="C56" s="47"/>
      <c r="D56" s="47"/>
      <c r="E56" s="172"/>
      <c r="F56" s="47"/>
      <c r="G56" s="3"/>
      <c r="H56" s="3"/>
      <c r="I56" s="3"/>
      <c r="J56" s="3"/>
    </row>
    <row r="57" spans="1:10" ht="13.5" customHeight="1" thickBot="1" x14ac:dyDescent="0.25">
      <c r="A57" s="117" t="s">
        <v>109</v>
      </c>
      <c r="B57" s="167">
        <f>SUM(B49:B55)</f>
        <v>46384</v>
      </c>
      <c r="C57" s="84">
        <f>SUM(C49:C55)</f>
        <v>-113212</v>
      </c>
      <c r="D57" s="121"/>
      <c r="E57" s="167">
        <f>SUM(E49:E55)</f>
        <v>111275</v>
      </c>
      <c r="F57" s="84">
        <f>SUM(F49:F55)</f>
        <v>-230054</v>
      </c>
      <c r="G57" s="13"/>
      <c r="H57" s="13"/>
      <c r="I57" s="13"/>
      <c r="J57" s="13"/>
    </row>
    <row r="58" spans="1:10" ht="13.5" customHeight="1" thickTop="1" x14ac:dyDescent="0.2">
      <c r="A58" s="65"/>
      <c r="B58" s="172"/>
      <c r="C58" s="47"/>
      <c r="D58" s="47"/>
      <c r="E58" s="172"/>
      <c r="F58" s="47"/>
      <c r="G58" s="8"/>
      <c r="H58" s="18"/>
      <c r="I58" s="8"/>
      <c r="J58" s="18"/>
    </row>
    <row r="59" spans="1:10" ht="13.5" customHeight="1" thickBot="1" x14ac:dyDescent="0.25">
      <c r="A59" s="117" t="s">
        <v>14</v>
      </c>
      <c r="B59" s="183">
        <f>'Statements of Operations'!B48</f>
        <v>25082</v>
      </c>
      <c r="C59" s="142">
        <f>'Statements of Operations'!C47</f>
        <v>21293</v>
      </c>
      <c r="D59" s="177"/>
      <c r="E59" s="183">
        <f>'Statements of Operations'!E48</f>
        <v>25245</v>
      </c>
      <c r="F59" s="142">
        <f>'Statements of Operations'!F47</f>
        <v>21293</v>
      </c>
      <c r="G59" s="3"/>
      <c r="H59" s="16"/>
      <c r="I59" s="3"/>
      <c r="J59" s="16"/>
    </row>
    <row r="60" spans="1:10" ht="13.5" customHeight="1" thickTop="1" x14ac:dyDescent="0.2">
      <c r="A60" s="118"/>
      <c r="B60" s="174"/>
      <c r="C60" s="178"/>
      <c r="D60" s="177"/>
      <c r="E60" s="174"/>
      <c r="F60" s="178"/>
      <c r="G60" s="3"/>
    </row>
    <row r="61" spans="1:10" ht="13.5" customHeight="1" x14ac:dyDescent="0.2">
      <c r="A61" s="117" t="s">
        <v>162</v>
      </c>
      <c r="B61" s="217">
        <f>'Statements of Operations'!B44</f>
        <v>1.48</v>
      </c>
      <c r="C61" s="179">
        <f>'Statements of Operations'!C43</f>
        <v>-8.26</v>
      </c>
      <c r="D61" s="180"/>
      <c r="E61" s="217">
        <f>'Statements of Operations'!E44</f>
        <v>3.52</v>
      </c>
      <c r="F61" s="179">
        <f>'Statements of Operations'!F43</f>
        <v>-17.97</v>
      </c>
      <c r="G61" s="3"/>
      <c r="H61" s="12"/>
      <c r="I61" s="3"/>
      <c r="J61" s="12"/>
    </row>
    <row r="62" spans="1:10" ht="13.5" customHeight="1" x14ac:dyDescent="0.2">
      <c r="A62" s="118"/>
      <c r="B62" s="184"/>
      <c r="C62" s="88"/>
      <c r="D62" s="47"/>
      <c r="E62" s="184"/>
      <c r="F62" s="88"/>
      <c r="G62" s="3"/>
      <c r="H62" s="3"/>
      <c r="I62" s="3"/>
      <c r="J62" s="3"/>
    </row>
    <row r="63" spans="1:10" ht="13.5" customHeight="1" x14ac:dyDescent="0.2">
      <c r="A63" s="67" t="s">
        <v>112</v>
      </c>
      <c r="B63" s="185">
        <f>ROUND(B51/$B59,2)</f>
        <v>0.56999999999999995</v>
      </c>
      <c r="C63" s="181">
        <f>ROUND(C51/$C$59,2)</f>
        <v>0</v>
      </c>
      <c r="D63" s="122"/>
      <c r="E63" s="185">
        <f>ROUND(E51/$B59,2)</f>
        <v>1.1599999999999999</v>
      </c>
      <c r="F63" s="181">
        <f>ROUND(F51/$C$59,2)</f>
        <v>-0.04</v>
      </c>
      <c r="G63" s="19"/>
      <c r="H63" s="19"/>
      <c r="I63" s="3"/>
      <c r="J63" s="12"/>
    </row>
    <row r="64" spans="1:10" s="51" customFormat="1" ht="13.5" customHeight="1" x14ac:dyDescent="0.2">
      <c r="A64" s="67" t="s">
        <v>83</v>
      </c>
      <c r="B64" s="185">
        <v>0</v>
      </c>
      <c r="C64" s="181">
        <f t="shared" ref="C64:C66" si="5">ROUND(C52/$C$59,2)</f>
        <v>2.0499999999999998</v>
      </c>
      <c r="D64" s="122"/>
      <c r="E64" s="185">
        <v>0</v>
      </c>
      <c r="F64" s="181">
        <f t="shared" ref="F64:F66" si="6">ROUND(F52/$C$59,2)</f>
        <v>6.07</v>
      </c>
      <c r="G64" s="19"/>
      <c r="H64" s="19"/>
      <c r="I64" s="50"/>
      <c r="J64" s="12"/>
    </row>
    <row r="65" spans="1:10" s="54" customFormat="1" ht="13.5" customHeight="1" x14ac:dyDescent="0.2">
      <c r="A65" s="194" t="s">
        <v>86</v>
      </c>
      <c r="B65" s="185">
        <f>ROUND(B53/$B59,2)</f>
        <v>0</v>
      </c>
      <c r="C65" s="181">
        <f t="shared" si="5"/>
        <v>0</v>
      </c>
      <c r="D65" s="122"/>
      <c r="E65" s="185">
        <f>ROUND(E53/$B59,2)</f>
        <v>0.08</v>
      </c>
      <c r="F65" s="181">
        <f t="shared" si="6"/>
        <v>0.1</v>
      </c>
      <c r="G65" s="19"/>
      <c r="H65" s="19"/>
      <c r="I65" s="53"/>
      <c r="J65" s="12"/>
    </row>
    <row r="66" spans="1:10" s="109" customFormat="1" ht="13.5" customHeight="1" x14ac:dyDescent="0.2">
      <c r="A66" s="67" t="s">
        <v>88</v>
      </c>
      <c r="B66" s="185">
        <f>ROUND(B54/$B59,2)</f>
        <v>0</v>
      </c>
      <c r="C66" s="181">
        <f t="shared" si="5"/>
        <v>1</v>
      </c>
      <c r="D66" s="122"/>
      <c r="E66" s="185">
        <f>ROUND(E54/$B59,2)</f>
        <v>0.11</v>
      </c>
      <c r="F66" s="181">
        <f t="shared" si="6"/>
        <v>1.18</v>
      </c>
      <c r="G66" s="19"/>
      <c r="H66" s="19"/>
      <c r="I66" s="108"/>
      <c r="J66" s="12"/>
    </row>
    <row r="67" spans="1:10" ht="13.5" customHeight="1" x14ac:dyDescent="0.2">
      <c r="A67" s="67" t="s">
        <v>51</v>
      </c>
      <c r="B67" s="185">
        <f>B68-SUM(B61:B66)</f>
        <v>-0.20070568535204503</v>
      </c>
      <c r="C67" s="181">
        <f>C68-SUM(C61:C66)</f>
        <v>-0.10686469731836734</v>
      </c>
      <c r="D67" s="122"/>
      <c r="E67" s="185">
        <f>E68-SUM(E61:E66)</f>
        <v>-0.46219647454941626</v>
      </c>
      <c r="F67" s="181">
        <f>F68-SUM(F61:F66)</f>
        <v>-0.14420795566618239</v>
      </c>
      <c r="G67" s="19"/>
      <c r="H67" s="19"/>
      <c r="I67" s="3"/>
      <c r="J67" s="19"/>
    </row>
    <row r="68" spans="1:10" ht="13.5" customHeight="1" thickBot="1" x14ac:dyDescent="0.25">
      <c r="A68" s="117" t="s">
        <v>163</v>
      </c>
      <c r="B68" s="186">
        <f>B57/B59</f>
        <v>1.8492943146479548</v>
      </c>
      <c r="C68" s="191">
        <f>C57/C59</f>
        <v>-5.3168646973183673</v>
      </c>
      <c r="D68" s="125"/>
      <c r="E68" s="186">
        <f>E57/E59</f>
        <v>4.4078035254505838</v>
      </c>
      <c r="F68" s="191">
        <f>F57/F59</f>
        <v>-10.804207955666181</v>
      </c>
      <c r="G68" s="3"/>
      <c r="H68" s="12"/>
      <c r="I68" s="3"/>
      <c r="J68" s="12"/>
    </row>
    <row r="69" spans="1:10" ht="13.5" customHeight="1" thickTop="1" x14ac:dyDescent="0.2">
      <c r="A69" s="47"/>
      <c r="B69" s="132"/>
      <c r="C69" s="133"/>
      <c r="D69" s="65"/>
      <c r="E69" s="134"/>
      <c r="F69" s="135"/>
    </row>
    <row r="70" spans="1:10" ht="13.5" customHeight="1" x14ac:dyDescent="0.2">
      <c r="B70" s="259"/>
      <c r="C70" s="259"/>
      <c r="E70" s="259"/>
      <c r="F70" s="259"/>
    </row>
    <row r="71" spans="1:10" ht="13.5" customHeight="1" x14ac:dyDescent="0.2">
      <c r="B71" s="38"/>
      <c r="C71" s="38"/>
    </row>
    <row r="72" spans="1:10" ht="13.5" customHeight="1" x14ac:dyDescent="0.2">
      <c r="B72" s="38"/>
      <c r="C72" s="38"/>
      <c r="E72" s="43"/>
      <c r="F72" s="43"/>
    </row>
    <row r="73" spans="1:10" ht="13.5" customHeight="1" x14ac:dyDescent="0.2">
      <c r="B73" s="38"/>
      <c r="C73" s="38"/>
    </row>
    <row r="74" spans="1:10" ht="13.5" customHeight="1" x14ac:dyDescent="0.2">
      <c r="B74" s="38"/>
      <c r="C74" s="38"/>
    </row>
  </sheetData>
  <mergeCells count="24">
    <mergeCell ref="A15:F15"/>
    <mergeCell ref="A10:F10"/>
    <mergeCell ref="A11:F11"/>
    <mergeCell ref="A12:F12"/>
    <mergeCell ref="A13:F13"/>
    <mergeCell ref="A14:F14"/>
    <mergeCell ref="A1:F1"/>
    <mergeCell ref="A2:F2"/>
    <mergeCell ref="A3:F3"/>
    <mergeCell ref="A5:F5"/>
    <mergeCell ref="A6:F6"/>
    <mergeCell ref="A16:F16"/>
    <mergeCell ref="A17:F17"/>
    <mergeCell ref="H46:J46"/>
    <mergeCell ref="A37:C37"/>
    <mergeCell ref="A39:F39"/>
    <mergeCell ref="A40:F40"/>
    <mergeCell ref="A41:F41"/>
    <mergeCell ref="A42:F42"/>
    <mergeCell ref="A43:F43"/>
    <mergeCell ref="A44:F44"/>
    <mergeCell ref="A18:F18"/>
    <mergeCell ref="A20:F20"/>
    <mergeCell ref="A19:F19"/>
  </mergeCells>
  <pageMargins left="0.7" right="0.7" top="0.75" bottom="0.75" header="0.3" footer="0.3"/>
  <pageSetup scale="64" orientation="portrait" r:id="rId1"/>
  <rowBreaks count="1" manualBreakCount="1">
    <brk id="68" max="7" man="1"/>
  </rowBreaks>
  <ignoredErrors>
    <ignoredError sqref="B69 B57:B58 B60 G59 B62 G61 C69:D69 C57:D58 C60:D60 C59:D59 C62:D62 C61:D61 D64 D63 D67 G64 G63 G67 D68 G68 G69 G57:G58 G60 G62 D65 G6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Statements of Operations</vt:lpstr>
      <vt:lpstr>Balance Sheet</vt:lpstr>
      <vt:lpstr>Statement of Cash Flows</vt:lpstr>
      <vt:lpstr>Debt Schedule</vt:lpstr>
      <vt:lpstr>Operational Performance</vt:lpstr>
      <vt:lpstr>Reconciliation page</vt:lpstr>
      <vt:lpstr>Sheet1</vt:lpstr>
      <vt:lpstr>'Reconciliation page'!Print_Area</vt:lpstr>
      <vt:lpstr>'Statements of Operations'!Print_Area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Szczepan, Greg</cp:lastModifiedBy>
  <cp:lastPrinted>2017-07-25T19:53:16Z</cp:lastPrinted>
  <dcterms:created xsi:type="dcterms:W3CDTF">2015-01-20T16:57:13Z</dcterms:created>
  <dcterms:modified xsi:type="dcterms:W3CDTF">2017-07-26T21:07:26Z</dcterms:modified>
</cp:coreProperties>
</file>